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eabejar\Downloads\"/>
    </mc:Choice>
  </mc:AlternateContent>
  <xr:revisionPtr revIDLastSave="0" documentId="13_ncr:1_{7095ADA7-0308-4A75-A59B-8848FEC18A68}" xr6:coauthVersionLast="47" xr6:coauthVersionMax="47" xr10:uidLastSave="{00000000-0000-0000-0000-000000000000}"/>
  <bookViews>
    <workbookView xWindow="-108" yWindow="-108" windowWidth="23256" windowHeight="12456" activeTab="1" xr2:uid="{FC2B3CE5-2443-4BAE-BCF2-21CD268DFB89}"/>
  </bookViews>
  <sheets>
    <sheet name="How to Use the Workbook" sheetId="36" r:id="rId1"/>
    <sheet name="Summary" sheetId="9" r:id="rId2"/>
    <sheet name="TCO Estimator" sheetId="8" r:id="rId3"/>
    <sheet name="Administrator Job Titles" sheetId="25" state="hidden" r:id="rId4"/>
    <sheet name="TCP Full Time CounsLib" sheetId="24" state="hidden" r:id="rId5"/>
    <sheet name="Administrator Job Titles " sheetId="39" state="hidden" r:id="rId6"/>
    <sheet name="Classified Job Titles" sheetId="14" state="hidden" r:id="rId7"/>
    <sheet name="TCO Full Time Fac" sheetId="21" state="hidden" r:id="rId8"/>
    <sheet name="TCO Full Time CounsLib" sheetId="40" state="hidden" r:id="rId9"/>
    <sheet name="Short Term NonClassified Titles" sheetId="26" state="hidden" r:id="rId10"/>
    <sheet name="Student Employment" sheetId="15" state="hidden" r:id="rId11"/>
    <sheet name="TCP Assoc FacCousLib" sheetId="22" state="hidden" r:id="rId12"/>
    <sheet name="RATE SHEET" sheetId="30" state="hidden" r:id="rId13"/>
    <sheet name="Technology" sheetId="23" r:id="rId14"/>
    <sheet name="Utilities" sheetId="27" r:id="rId15"/>
    <sheet name="All Building Summary" sheetId="41" r:id="rId16"/>
    <sheet name="M &amp; O Standards" sheetId="38" r:id="rId17"/>
    <sheet name="NOTES" sheetId="32" r:id="rId18"/>
    <sheet name="VFS Utilities - FY 25-26" sheetId="37" state="hidden" r:id="rId19"/>
  </sheets>
  <externalReferences>
    <externalReference r:id="rId20"/>
    <externalReference r:id="rId21"/>
  </externalReferences>
  <definedNames>
    <definedName name="_xlnm._FilterDatabase" localSheetId="15" hidden="1">'All Building Summary'!$A$13:$L$242</definedName>
    <definedName name="_xlnm._FilterDatabase" localSheetId="9" hidden="1">'Short Term NonClassified Titles'!$A$1:$B$117</definedName>
    <definedName name="_xlnm._FilterDatabase" localSheetId="18" hidden="1">'VFS Utilities - FY 25-26'!$A$8:$N$35</definedName>
    <definedName name="AdministratorTitles" localSheetId="5">'Administrator Job Titles '!$A$2:$A$124</definedName>
    <definedName name="AdministratorTitles">'Administrator Job Titles'!$A$2:$A$124</definedName>
    <definedName name="AdminTitles" localSheetId="5">'Administrator Job Titles '!$A$3:$A$124</definedName>
    <definedName name="AdminTitles">'Administrator Job Titles'!$A$3:$A$124</definedName>
    <definedName name="AdminTitles2" localSheetId="5">'Administrator Job Titles '!$A$2:$A$124</definedName>
    <definedName name="AdminTitles2">'Administrator Job Titles'!$A$2:$A$124</definedName>
    <definedName name="ClassTitles" localSheetId="5">#REF!</definedName>
    <definedName name="ClassTitles" localSheetId="8">#REF!</definedName>
    <definedName name="ClassTitles">'Classified Job Titles'!$A$2:$A$178</definedName>
    <definedName name="ClassTitles2" localSheetId="5">#REF!</definedName>
    <definedName name="ClassTitles2" localSheetId="8">#REF!</definedName>
    <definedName name="ClassTitles2">'Classified Job Titles'!$A$2:$A$178</definedName>
    <definedName name="_xlnm.Print_Area" localSheetId="16">'M &amp; O Standards'!$A$1:$S$33</definedName>
    <definedName name="_xlnm.Print_Area" localSheetId="2">'TCO Estimator'!$A$2:$J$60</definedName>
    <definedName name="Sections" localSheetId="8">#REF!</definedName>
    <definedName name="Sections">#REF!</definedName>
    <definedName name="ShortTerm">'Short Term NonClassified Titles'!$A$2:$A$116</definedName>
    <definedName name="StudentTitles" localSheetId="18">'[1]Student Employment'!$A$4:$A$8</definedName>
    <definedName name="StudentTitles">'Student Employment'!$A$4:$A$8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8" l="1"/>
  <c r="I14" i="8"/>
  <c r="Q24" i="38"/>
  <c r="H12" i="41"/>
  <c r="G12" i="41"/>
  <c r="H8" i="41"/>
  <c r="G8" i="41"/>
  <c r="H7" i="41"/>
  <c r="B9" i="27" s="1"/>
  <c r="G7" i="41"/>
  <c r="H6" i="41"/>
  <c r="B11" i="27" s="1"/>
  <c r="G11" i="27" s="1"/>
  <c r="G6" i="41"/>
  <c r="C11" i="27" s="1"/>
  <c r="H5" i="41"/>
  <c r="B12" i="27" s="1"/>
  <c r="G5" i="41"/>
  <c r="C12" i="27" s="1"/>
  <c r="H4" i="41"/>
  <c r="B10" i="27" s="1"/>
  <c r="G4" i="41"/>
  <c r="C10" i="27" s="1"/>
  <c r="Q25" i="38" l="1"/>
  <c r="R8" i="38" s="1"/>
  <c r="H9" i="41"/>
  <c r="G9" i="41"/>
  <c r="C9" i="27"/>
  <c r="R18" i="38"/>
  <c r="C31" i="37" l="1"/>
  <c r="C32" i="37"/>
  <c r="C33" i="37"/>
  <c r="C34" i="37"/>
  <c r="C35" i="37"/>
  <c r="B7" i="22" l="1"/>
  <c r="C2" i="40"/>
  <c r="B3" i="40"/>
  <c r="C3" i="40" s="1"/>
  <c r="B4" i="40"/>
  <c r="C4" i="40" s="1"/>
  <c r="B5" i="40"/>
  <c r="C5" i="40" s="1"/>
  <c r="C6" i="40"/>
  <c r="B7" i="40"/>
  <c r="C7" i="40" s="1"/>
  <c r="C9" i="40"/>
  <c r="B18" i="40"/>
  <c r="H9" i="8"/>
  <c r="C10" i="21"/>
  <c r="C8" i="21"/>
  <c r="B8" i="21"/>
  <c r="F9" i="30"/>
  <c r="O36" i="30"/>
  <c r="O33" i="30"/>
  <c r="O34" i="30"/>
  <c r="O35" i="30"/>
  <c r="O32" i="30"/>
  <c r="J8" i="8"/>
  <c r="J6" i="8"/>
  <c r="J7" i="8"/>
  <c r="J5" i="8"/>
  <c r="J4" i="8"/>
  <c r="B20" i="30"/>
  <c r="C8" i="40" l="1"/>
  <c r="C10" i="40" s="1"/>
  <c r="I9" i="8"/>
  <c r="B8" i="40"/>
  <c r="J9" i="8"/>
  <c r="K9" i="8" l="1"/>
  <c r="E12" i="8"/>
  <c r="H8" i="8"/>
  <c r="H7" i="8"/>
  <c r="H5" i="8"/>
  <c r="H6" i="8"/>
  <c r="H4" i="8"/>
  <c r="I4" i="8" l="1"/>
  <c r="I5" i="8"/>
  <c r="I7" i="8"/>
  <c r="K7" i="8" s="1"/>
  <c r="I8" i="8"/>
  <c r="K8" i="8" s="1"/>
  <c r="I31" i="30"/>
  <c r="I6" i="8"/>
  <c r="K6" i="8" s="1"/>
  <c r="K5" i="8" l="1"/>
  <c r="K4" i="8"/>
  <c r="I33" i="30"/>
  <c r="I35" i="30"/>
  <c r="I32" i="30"/>
  <c r="I34" i="30"/>
  <c r="C7" i="22" l="1"/>
  <c r="C17" i="22"/>
  <c r="C5" i="22"/>
  <c r="I8" i="38"/>
  <c r="M8" i="38"/>
  <c r="Q8" i="38"/>
  <c r="I11" i="38"/>
  <c r="J11" i="38"/>
  <c r="K11" i="38"/>
  <c r="M11" i="38"/>
  <c r="N11" i="38"/>
  <c r="O11" i="38" s="1"/>
  <c r="Q11" i="38"/>
  <c r="R11" i="38"/>
  <c r="S11" i="38"/>
  <c r="K12" i="38"/>
  <c r="N13" i="38"/>
  <c r="O13" i="38" s="1"/>
  <c r="R13" i="38"/>
  <c r="S13" i="38" s="1"/>
  <c r="K14" i="38"/>
  <c r="O14" i="38"/>
  <c r="S14" i="38"/>
  <c r="K15" i="38"/>
  <c r="I18" i="38"/>
  <c r="K19" i="38"/>
  <c r="O19" i="38"/>
  <c r="S19" i="38"/>
  <c r="M21" i="38"/>
  <c r="Q21" i="38"/>
  <c r="I24" i="38"/>
  <c r="M24" i="38"/>
  <c r="I25" i="38"/>
  <c r="J8" i="38" s="1"/>
  <c r="M25" i="38"/>
  <c r="N8" i="38" s="1"/>
  <c r="S18" i="38"/>
  <c r="M27" i="38"/>
  <c r="N12" i="38" s="1"/>
  <c r="O12" i="38" s="1"/>
  <c r="Q27" i="38"/>
  <c r="R12" i="38" s="1"/>
  <c r="S12" i="38" s="1"/>
  <c r="I28" i="38"/>
  <c r="J13" i="38" s="1"/>
  <c r="K13" i="38" s="1"/>
  <c r="I21" i="38" l="1"/>
  <c r="S8" i="38"/>
  <c r="N18" i="38"/>
  <c r="O18" i="38" s="1"/>
  <c r="S21" i="38"/>
  <c r="J18" i="38"/>
  <c r="K18" i="38" s="1"/>
  <c r="O8" i="38"/>
  <c r="O21" i="38" s="1"/>
  <c r="N21" i="38"/>
  <c r="O22" i="38" s="1"/>
  <c r="J21" i="38"/>
  <c r="K22" i="38" s="1"/>
  <c r="K8" i="38"/>
  <c r="R21" i="38"/>
  <c r="S22" i="38" s="1"/>
  <c r="F8" i="30"/>
  <c r="F7" i="30"/>
  <c r="F6" i="30"/>
  <c r="F5" i="30"/>
  <c r="B21" i="21"/>
  <c r="C9" i="21" s="1"/>
  <c r="B18" i="24"/>
  <c r="K21" i="38" l="1"/>
  <c r="K7" i="37"/>
  <c r="L7" i="37"/>
  <c r="M7" i="37"/>
  <c r="N7" i="37"/>
  <c r="J7" i="37"/>
  <c r="C9" i="37" l="1"/>
  <c r="C10" i="37"/>
  <c r="C11" i="37"/>
  <c r="C12" i="37"/>
  <c r="C13" i="37"/>
  <c r="C14" i="37"/>
  <c r="C15" i="37"/>
  <c r="C16" i="37"/>
  <c r="C17" i="37"/>
  <c r="C18" i="37"/>
  <c r="C19" i="37"/>
  <c r="C20" i="37"/>
  <c r="C21" i="37"/>
  <c r="C22" i="37"/>
  <c r="C23" i="37"/>
  <c r="C24" i="37"/>
  <c r="C25" i="37"/>
  <c r="C26" i="37"/>
  <c r="C27" i="37"/>
  <c r="C28" i="37"/>
  <c r="C29" i="37"/>
  <c r="C30" i="37"/>
  <c r="J9" i="27" l="1"/>
  <c r="O9" i="27" l="1"/>
  <c r="D9" i="8" l="1"/>
  <c r="E13" i="8"/>
  <c r="G56" i="8" l="1"/>
  <c r="I54" i="8"/>
  <c r="D17" i="23" l="1"/>
  <c r="B39" i="30" l="1"/>
  <c r="A38" i="30"/>
  <c r="A31" i="30"/>
  <c r="A32" i="30" s="1"/>
  <c r="A33" i="30" s="1"/>
  <c r="A35" i="30" s="1"/>
  <c r="A39" i="30" l="1"/>
  <c r="A40" i="30" l="1"/>
  <c r="A42" i="30" s="1"/>
  <c r="G19" i="8" s="1"/>
  <c r="G20" i="8" s="1"/>
  <c r="M10" i="27"/>
  <c r="H9" i="27" l="1"/>
  <c r="H14" i="8" l="1"/>
  <c r="H13" i="8"/>
  <c r="G13" i="8"/>
  <c r="H12" i="8"/>
  <c r="D15" i="8"/>
  <c r="D14" i="8"/>
  <c r="B13" i="22"/>
  <c r="B12" i="22"/>
  <c r="B11" i="22"/>
  <c r="B10" i="22"/>
  <c r="B9" i="22"/>
  <c r="B7" i="24"/>
  <c r="C7" i="24" s="1"/>
  <c r="B6" i="24"/>
  <c r="C6" i="24" s="1"/>
  <c r="B5" i="24"/>
  <c r="C5" i="24" s="1"/>
  <c r="B4" i="24"/>
  <c r="C4" i="24" s="1"/>
  <c r="B3" i="24"/>
  <c r="C3" i="24" s="1"/>
  <c r="C2" i="24"/>
  <c r="B7" i="21"/>
  <c r="C7" i="21" s="1"/>
  <c r="B6" i="21"/>
  <c r="C6" i="21" s="1"/>
  <c r="B5" i="21"/>
  <c r="C5" i="21" s="1"/>
  <c r="B4" i="21"/>
  <c r="C4" i="21" s="1"/>
  <c r="B3" i="21"/>
  <c r="C3" i="21" s="1"/>
  <c r="C2" i="21"/>
  <c r="I13" i="8" l="1"/>
  <c r="K13" i="8" s="1"/>
  <c r="G15" i="8"/>
  <c r="C10" i="22"/>
  <c r="C12" i="22"/>
  <c r="C11" i="22"/>
  <c r="C13" i="22"/>
  <c r="C8" i="22"/>
  <c r="C9" i="22"/>
  <c r="G12" i="8"/>
  <c r="I12" i="8" s="1"/>
  <c r="K12" i="8" l="1"/>
  <c r="C15" i="22"/>
  <c r="H15" i="8"/>
  <c r="K15" i="8" s="1"/>
  <c r="G14" i="8"/>
  <c r="B19" i="30"/>
  <c r="D10" i="8"/>
  <c r="C8" i="24" l="1"/>
  <c r="G12" i="27"/>
  <c r="D18" i="23"/>
  <c r="D19" i="23" s="1"/>
  <c r="H10" i="8"/>
  <c r="G47" i="8"/>
  <c r="G57" i="8" s="1"/>
  <c r="C9" i="9"/>
  <c r="I26" i="8"/>
  <c r="I19" i="8"/>
  <c r="I20" i="8" s="1"/>
  <c r="I24" i="8"/>
  <c r="I27" i="8"/>
  <c r="R12" i="27"/>
  <c r="M12" i="27"/>
  <c r="H12" i="27"/>
  <c r="R11" i="27"/>
  <c r="M11" i="27"/>
  <c r="H11" i="27"/>
  <c r="R10" i="27"/>
  <c r="H10" i="27"/>
  <c r="R9" i="27"/>
  <c r="M9" i="27"/>
  <c r="H35" i="8"/>
  <c r="C11" i="9" s="1"/>
  <c r="I46" i="8"/>
  <c r="I29" i="8"/>
  <c r="I51" i="8"/>
  <c r="I52" i="8"/>
  <c r="I53" i="8"/>
  <c r="I50" i="8"/>
  <c r="I43" i="8"/>
  <c r="I44" i="8"/>
  <c r="I45" i="8"/>
  <c r="I28" i="8"/>
  <c r="I30" i="8"/>
  <c r="I31" i="8"/>
  <c r="I25" i="8"/>
  <c r="I32" i="8"/>
  <c r="I33" i="8"/>
  <c r="I34" i="8"/>
  <c r="B25" i="9"/>
  <c r="B23" i="9"/>
  <c r="B21" i="9"/>
  <c r="B26" i="9"/>
  <c r="H47" i="8"/>
  <c r="B15" i="9"/>
  <c r="B9" i="9"/>
  <c r="K14" i="8" l="1"/>
  <c r="I10" i="8"/>
  <c r="I16" i="8" s="1"/>
  <c r="J10" i="8"/>
  <c r="J16" i="8" s="1"/>
  <c r="L14" i="27"/>
  <c r="Q14" i="27"/>
  <c r="G14" i="27"/>
  <c r="D9" i="9"/>
  <c r="G9" i="27"/>
  <c r="I47" i="8"/>
  <c r="D12" i="23"/>
  <c r="Q11" i="27"/>
  <c r="L11" i="27"/>
  <c r="Q12" i="27"/>
  <c r="L12" i="27"/>
  <c r="G10" i="27"/>
  <c r="I35" i="8"/>
  <c r="D11" i="9" s="1"/>
  <c r="G35" i="8"/>
  <c r="B11" i="9" s="1"/>
  <c r="G16" i="8"/>
  <c r="C9" i="24"/>
  <c r="H16" i="8"/>
  <c r="B7" i="9" s="1"/>
  <c r="D13" i="23"/>
  <c r="D8" i="23"/>
  <c r="K10" i="8" l="1"/>
  <c r="K16" i="8" s="1"/>
  <c r="D7" i="9" s="1"/>
  <c r="G13" i="27"/>
  <c r="S14" i="27"/>
  <c r="Q9" i="27"/>
  <c r="L9" i="27"/>
  <c r="L10" i="27"/>
  <c r="L13" i="27" s="1"/>
  <c r="D14" i="23"/>
  <c r="D21" i="23" s="1"/>
  <c r="D24" i="23" s="1"/>
  <c r="Q10" i="27"/>
  <c r="Q13" i="27" s="1"/>
  <c r="C7" i="9"/>
  <c r="G38" i="8"/>
  <c r="L18" i="27" l="1"/>
  <c r="S13" i="27"/>
  <c r="L21" i="27"/>
  <c r="L20" i="27"/>
  <c r="L22" i="27"/>
  <c r="G39" i="8"/>
  <c r="B13" i="9" s="1"/>
  <c r="B17" i="9" s="1"/>
  <c r="H38" i="8" l="1"/>
  <c r="H39" i="8" s="1"/>
  <c r="C13" i="9" s="1"/>
  <c r="L23" i="27"/>
  <c r="H55" i="8" s="1"/>
  <c r="H56" i="8" l="1"/>
  <c r="H57" i="8" s="1"/>
  <c r="C15" i="9" s="1"/>
  <c r="C17" i="9" s="1"/>
  <c r="I38" i="8"/>
  <c r="I39" i="8" s="1"/>
  <c r="I55" i="8"/>
  <c r="D13" i="9" l="1"/>
  <c r="I56" i="8"/>
  <c r="I57" i="8" s="1"/>
  <c r="I59" i="8" s="1"/>
  <c r="D15" i="9" l="1"/>
  <c r="D17"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Cheatham, Misty</author>
    <author>tc={392B4404-EF80-43A8-920D-3AB604CE0663}</author>
    <author>tc={450D0A07-51BF-4C21-9038-32AD852BD909}</author>
    <author>Rose, Lisette</author>
  </authors>
  <commentList>
    <comment ref="H4" authorId="0" shapeId="0" xr:uid="{00000000-0006-0000-0200-000002000000}">
      <text>
        <r>
          <rPr>
            <sz val="9"/>
            <color indexed="81"/>
            <rFont val="Tahoma"/>
            <family val="2"/>
          </rPr>
          <t>assumes step 1</t>
        </r>
      </text>
    </comment>
    <comment ref="I4" authorId="1" shapeId="0" xr:uid="{392B4404-EF80-43A8-920D-3AB604CE0663}">
      <text>
        <t>[Threaded comment]
Your version of Excel allows you to read this threaded comment; however, any edits to it will get removed if the file is opened in a newer version of Excel. Learn more: https://go.microsoft.com/fwlink/?linkid=870924
Comment:
    assumes employee is on STRS &amp; DD, Jefferson Life, RCCD</t>
      </text>
    </comment>
    <comment ref="H5" authorId="0" shapeId="0" xr:uid="{C92141BE-A835-4372-8A1E-247997A9EDC6}">
      <text>
        <r>
          <rPr>
            <sz val="9"/>
            <color indexed="81"/>
            <rFont val="Tahoma"/>
            <family val="2"/>
          </rPr>
          <t>assumes step 1</t>
        </r>
      </text>
    </comment>
    <comment ref="I5" authorId="2" shapeId="0" xr:uid="{450D0A07-51BF-4C21-9038-32AD852BD909}">
      <text>
        <t>[Threaded comment]
Your version of Excel allows you to read this threaded comment; however, any edits to it will get removed if the file is opened in a newer version of Excel. Learn more: https://go.microsoft.com/fwlink/?linkid=870924
Comment:
    assumes employee is on PERS &amp; DD, Jefferson Life, RCCD</t>
      </text>
    </comment>
    <comment ref="H6" authorId="0" shapeId="0" xr:uid="{00000000-0006-0000-0200-000006000000}">
      <text>
        <r>
          <rPr>
            <sz val="9"/>
            <color indexed="81"/>
            <rFont val="Tahoma"/>
            <family val="2"/>
          </rPr>
          <t>assumes step 1</t>
        </r>
      </text>
    </comment>
    <comment ref="H7" authorId="0" shapeId="0" xr:uid="{00000000-0006-0000-0200-000008000000}">
      <text>
        <r>
          <rPr>
            <sz val="9"/>
            <color indexed="81"/>
            <rFont val="Tahoma"/>
            <family val="2"/>
          </rPr>
          <t>assumes step 1</t>
        </r>
      </text>
    </comment>
    <comment ref="C8" authorId="0" shapeId="0" xr:uid="{00000000-0006-0000-0200-00000A000000}">
      <text>
        <r>
          <rPr>
            <sz val="10"/>
            <rFont val="Arial"/>
            <family val="2"/>
          </rPr>
          <t>NC Business Svcs:
Enter Permanent PT FTE. To calculate FTE, divide hours worked per week by 40 hours</t>
        </r>
      </text>
    </comment>
    <comment ref="H8" authorId="0" shapeId="0" xr:uid="{00000000-0006-0000-0200-00000B000000}">
      <text>
        <r>
          <rPr>
            <sz val="9"/>
            <color indexed="81"/>
            <rFont val="Tahoma"/>
            <family val="2"/>
          </rPr>
          <t>assumes step 1</t>
        </r>
      </text>
    </comment>
    <comment ref="C9" authorId="0" shapeId="0" xr:uid="{00000000-0006-0000-0200-00000D000000}">
      <text>
        <r>
          <rPr>
            <sz val="10"/>
            <rFont val="Arial"/>
            <family val="2"/>
          </rPr>
          <t>NC Business Svcs:
Enter Number of FT faculty</t>
        </r>
      </text>
    </comment>
    <comment ref="H9" authorId="0" shapeId="0" xr:uid="{00000000-0006-0000-0200-00000E000000}">
      <text>
        <r>
          <rPr>
            <sz val="9"/>
            <color indexed="81"/>
            <rFont val="Tahoma"/>
            <family val="2"/>
          </rPr>
          <t>assumes step H-6</t>
        </r>
      </text>
    </comment>
    <comment ref="C10" authorId="0" shapeId="0" xr:uid="{00000000-0006-0000-0200-000010000000}">
      <text>
        <r>
          <rPr>
            <sz val="10"/>
            <rFont val="Arial"/>
            <family val="2"/>
          </rPr>
          <t>NC Business Services:
Enter number of FT Counselors/Librarians</t>
        </r>
      </text>
    </comment>
    <comment ref="H10" authorId="0" shapeId="0" xr:uid="{00000000-0006-0000-0200-000011000000}">
      <text>
        <r>
          <rPr>
            <sz val="9"/>
            <color indexed="81"/>
            <rFont val="Tahoma"/>
            <family val="2"/>
          </rPr>
          <t>assumes step H-6</t>
        </r>
      </text>
    </comment>
    <comment ref="C12" authorId="0" shapeId="0" xr:uid="{00000000-0006-0000-0200-000013000000}">
      <text>
        <r>
          <rPr>
            <sz val="10"/>
            <rFont val="Arial"/>
            <family val="2"/>
          </rPr>
          <t>NC Business Svcs:
Enter Approximate annual hours required</t>
        </r>
      </text>
    </comment>
    <comment ref="E12" authorId="3" shapeId="0" xr:uid="{00000000-0006-0000-0200-000014000000}">
      <text>
        <r>
          <rPr>
            <sz val="10"/>
            <rFont val="Arial"/>
            <family val="2"/>
          </rPr>
          <t xml:space="preserve">Effective January 2023, minimum wage rates increased to $15.5/hr.
</t>
        </r>
      </text>
    </comment>
    <comment ref="K12" authorId="0" shapeId="0" xr:uid="{00000000-0006-0000-0200-000015000000}">
      <text>
        <r>
          <rPr>
            <sz val="9"/>
            <color indexed="81"/>
            <rFont val="Tahoma"/>
            <family val="2"/>
          </rPr>
          <t>assumes employee is on PARS</t>
        </r>
      </text>
    </comment>
    <comment ref="C13" authorId="0" shapeId="0" xr:uid="{00000000-0006-0000-0200-000016000000}">
      <text>
        <r>
          <rPr>
            <sz val="10"/>
            <rFont val="Arial"/>
            <family val="2"/>
          </rPr>
          <t>NC Business Svcs:
Enter Approximate annual hours required</t>
        </r>
      </text>
    </comment>
    <comment ref="E13" authorId="3" shapeId="0" xr:uid="{00000000-0006-0000-0200-000017000000}">
      <text>
        <r>
          <rPr>
            <sz val="9"/>
            <color indexed="81"/>
            <rFont val="Tahoma"/>
            <family val="2"/>
          </rPr>
          <t xml:space="preserve">Effective January 2023, minimum wage rates increased to $15.50/hr.
</t>
        </r>
      </text>
    </comment>
    <comment ref="K13" authorId="0" shapeId="0" xr:uid="{00000000-0006-0000-0200-000018000000}">
      <text>
        <r>
          <rPr>
            <sz val="9"/>
            <color indexed="81"/>
            <rFont val="Tahoma"/>
            <family val="2"/>
          </rPr>
          <t>assumed student employee fixed charges</t>
        </r>
      </text>
    </comment>
    <comment ref="C14" authorId="0" shapeId="0" xr:uid="{00000000-0006-0000-0200-000019000000}">
      <text>
        <r>
          <rPr>
            <sz val="10"/>
            <rFont val="Arial"/>
            <family val="2"/>
          </rPr>
          <t>Enter faculty load in FTE. 1 1FTE = 15 units per semester</t>
        </r>
      </text>
    </comment>
    <comment ref="D14" authorId="0" shapeId="0" xr:uid="{00000000-0006-0000-0200-00001A000000}">
      <text>
        <r>
          <rPr>
            <b/>
            <sz val="9"/>
            <color indexed="81"/>
            <rFont val="Tahoma"/>
            <family val="2"/>
          </rPr>
          <t>Cheatham, Misty:</t>
        </r>
        <r>
          <rPr>
            <sz val="9"/>
            <color indexed="81"/>
            <rFont val="Tahoma"/>
            <family val="2"/>
          </rPr>
          <t xml:space="preserve">
hourly rate at group 3, step 3</t>
        </r>
      </text>
    </comment>
    <comment ref="K14" authorId="0" shapeId="0" xr:uid="{00000000-0006-0000-0200-00001B000000}">
      <text>
        <r>
          <rPr>
            <sz val="9"/>
            <color indexed="81"/>
            <rFont val="Tahoma"/>
            <family val="2"/>
          </rPr>
          <t>assuming employee is on STRS</t>
        </r>
      </text>
    </comment>
    <comment ref="C15" authorId="0" shapeId="0" xr:uid="{00000000-0006-0000-0200-00001C000000}">
      <text>
        <r>
          <rPr>
            <sz val="10"/>
            <rFont val="Arial"/>
            <family val="2"/>
          </rPr>
          <t>Enter faculty load in FTE. 1 1FTE = 15 units per semester</t>
        </r>
      </text>
    </comment>
    <comment ref="D15" authorId="0" shapeId="0" xr:uid="{00000000-0006-0000-0200-00001D000000}">
      <text>
        <r>
          <rPr>
            <b/>
            <sz val="9"/>
            <color indexed="81"/>
            <rFont val="Tahoma"/>
            <family val="2"/>
          </rPr>
          <t>Cheatham, Misty:</t>
        </r>
        <r>
          <rPr>
            <sz val="9"/>
            <color indexed="81"/>
            <rFont val="Tahoma"/>
            <family val="2"/>
          </rPr>
          <t xml:space="preserve">
hourly rate at group 3, step 3</t>
        </r>
      </text>
    </comment>
    <comment ref="K15" authorId="0" shapeId="0" xr:uid="{00000000-0006-0000-0200-00001E000000}">
      <text>
        <r>
          <rPr>
            <sz val="9"/>
            <color indexed="81"/>
            <rFont val="Tahoma"/>
            <family val="2"/>
          </rPr>
          <t>assuming employee is on STRS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Erin Power</author>
    <author>Cheatham, Misty</author>
  </authors>
  <commentList>
    <comment ref="D11" authorId="0" shapeId="0" xr:uid="{00000000-0006-0000-0A00-000001000000}">
      <text>
        <r>
          <rPr>
            <sz val="10"/>
            <rFont val="Arial"/>
            <family val="2"/>
          </rPr>
          <t xml:space="preserve">NC Business Svcs:
Estimated Life-cycle of a computer is 3-5 years.
</t>
        </r>
      </text>
    </comment>
    <comment ref="D12" authorId="0" shapeId="0" xr:uid="{00000000-0006-0000-0A00-000002000000}">
      <text>
        <r>
          <rPr>
            <sz val="10"/>
            <rFont val="Arial"/>
            <family val="2"/>
          </rPr>
          <t xml:space="preserve">NC Business Services:
01/15/20 - updated - see back up: $180,000/6,000
$125,000/6,000 per Shirley McGraw
</t>
        </r>
      </text>
    </comment>
    <comment ref="D17" authorId="1" shapeId="0" xr:uid="{00000000-0006-0000-0A00-000003000000}">
      <text>
        <r>
          <rPr>
            <b/>
            <sz val="9"/>
            <color indexed="81"/>
            <rFont val="Tahoma"/>
            <family val="2"/>
          </rPr>
          <t>Cheatham, Misty:</t>
        </r>
        <r>
          <rPr>
            <sz val="9"/>
            <color indexed="81"/>
            <rFont val="Tahoma"/>
            <family val="2"/>
          </rPr>
          <t xml:space="preserve">
based on Western Data contract see cell D12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Godin, Norm</author>
    <author>xp</author>
    <author>Cheatham, Misty</author>
    <author>Wright, Linda</author>
  </authors>
  <commentList>
    <comment ref="F8" authorId="0" shapeId="0" xr:uid="{00000000-0006-0000-0C00-000002000000}">
      <text>
        <r>
          <rPr>
            <b/>
            <sz val="9"/>
            <color indexed="81"/>
            <rFont val="Tahoma"/>
            <family val="2"/>
          </rPr>
          <t>10-10-23:  
Kept standard of</t>
        </r>
        <r>
          <rPr>
            <sz val="9"/>
            <color indexed="81"/>
            <rFont val="Tahoma"/>
            <family val="2"/>
          </rPr>
          <t xml:space="preserve"> 16,700 GSF per T. Bell. MRT. </t>
        </r>
        <r>
          <rPr>
            <b/>
            <sz val="9"/>
            <color indexed="81"/>
            <rFont val="Tahoma"/>
            <family val="2"/>
          </rPr>
          <t xml:space="preserve">
</t>
        </r>
        <r>
          <rPr>
            <sz val="9"/>
            <color indexed="81"/>
            <rFont val="Tahoma"/>
            <family val="2"/>
          </rPr>
          <t xml:space="preserve">
</t>
        </r>
      </text>
    </comment>
    <comment ref="I8" authorId="1" shapeId="0" xr:uid="{00000000-0006-0000-0C00-000003000000}">
      <text>
        <r>
          <rPr>
            <b/>
            <sz val="8"/>
            <color indexed="81"/>
            <rFont val="Tahoma"/>
            <family val="2"/>
          </rPr>
          <t xml:space="preserve">26 custodians; 
4 Sr. Custodians
2 floor care; 
</t>
        </r>
      </text>
    </comment>
    <comment ref="M8" authorId="2" shapeId="0" xr:uid="{00000000-0006-0000-0C00-000004000000}">
      <text>
        <r>
          <rPr>
            <b/>
            <sz val="9"/>
            <color indexed="81"/>
            <rFont val="Tahoma"/>
            <family val="2"/>
          </rPr>
          <t>Cheatham, Misty:</t>
        </r>
        <r>
          <rPr>
            <sz val="9"/>
            <color indexed="81"/>
            <rFont val="Tahoma"/>
            <family val="2"/>
          </rPr>
          <t xml:space="preserve">
9 -Custodians
1 - Sr. Custodian</t>
        </r>
      </text>
    </comment>
    <comment ref="Q8" authorId="3" shapeId="0" xr:uid="{00000000-0006-0000-0C00-000005000000}">
      <text>
        <r>
          <rPr>
            <sz val="9"/>
            <color indexed="81"/>
            <rFont val="Tahoma"/>
            <family val="2"/>
          </rPr>
          <t>10 - FT custodian
1 - PT Custodian @ .475
1 - Sr. Custodian</t>
        </r>
      </text>
    </comment>
    <comment ref="I11" authorId="2" shapeId="0" xr:uid="{00000000-0006-0000-0C00-000006000000}">
      <text>
        <r>
          <rPr>
            <b/>
            <sz val="9"/>
            <color indexed="81"/>
            <rFont val="Tahoma"/>
            <family val="2"/>
          </rPr>
          <t>Cheatham, Misty:</t>
        </r>
        <r>
          <rPr>
            <sz val="9"/>
            <color indexed="81"/>
            <rFont val="Tahoma"/>
            <family val="2"/>
          </rPr>
          <t xml:space="preserve">
2 - Sr Groundsperson
1 - Grounds Equip Repair
8 - Groundsperson
1 - sprinkler repair person</t>
        </r>
      </text>
    </comment>
    <comment ref="M11" authorId="2" shapeId="0" xr:uid="{00000000-0006-0000-0C00-000007000000}">
      <text>
        <r>
          <rPr>
            <b/>
            <sz val="9"/>
            <color indexed="81"/>
            <rFont val="Tahoma"/>
            <family val="2"/>
          </rPr>
          <t>Cheatham, Misty:</t>
        </r>
        <r>
          <rPr>
            <sz val="9"/>
            <color indexed="81"/>
            <rFont val="Tahoma"/>
            <family val="2"/>
          </rPr>
          <t xml:space="preserve">
1 - Sr. Groundsperson
4 - Groundsperson
1 - Sprinkler Repairperson</t>
        </r>
      </text>
    </comment>
    <comment ref="Q11" authorId="3" shapeId="0" xr:uid="{00000000-0006-0000-0C00-000008000000}">
      <text>
        <r>
          <rPr>
            <sz val="9"/>
            <color indexed="81"/>
            <rFont val="Tahoma"/>
            <family val="2"/>
          </rPr>
          <t>2 - Groundsperson
1 - Sprinkler Repairperson</t>
        </r>
      </text>
    </comment>
    <comment ref="J14" authorId="2" shapeId="0" xr:uid="{00000000-0006-0000-0C00-000009000000}">
      <text>
        <r>
          <rPr>
            <b/>
            <sz val="9"/>
            <color indexed="81"/>
            <rFont val="Tahoma"/>
            <family val="2"/>
          </rPr>
          <t>Cheatham, Misty:</t>
        </r>
        <r>
          <rPr>
            <sz val="9"/>
            <color indexed="81"/>
            <rFont val="Tahoma"/>
            <family val="2"/>
          </rPr>
          <t xml:space="preserve">
2 pools</t>
        </r>
      </text>
    </comment>
    <comment ref="F18" authorId="0" shapeId="0" xr:uid="{397C76FB-C9DA-4190-9592-90B378046AC5}">
      <text>
        <r>
          <rPr>
            <b/>
            <sz val="9"/>
            <color indexed="81"/>
            <rFont val="Tahoma"/>
            <family val="2"/>
          </rPr>
          <t>10-10-23:  
Kept standard of</t>
        </r>
        <r>
          <rPr>
            <sz val="9"/>
            <color indexed="81"/>
            <rFont val="Tahoma"/>
            <family val="2"/>
          </rPr>
          <t xml:space="preserve"> 16,700 GSF per T. Bell. MRT. </t>
        </r>
        <r>
          <rPr>
            <b/>
            <sz val="9"/>
            <color indexed="81"/>
            <rFont val="Tahoma"/>
            <family val="2"/>
          </rPr>
          <t xml:space="preserve">
</t>
        </r>
        <r>
          <rPr>
            <sz val="9"/>
            <color indexed="81"/>
            <rFont val="Tahoma"/>
            <family val="2"/>
          </rPr>
          <t xml:space="preserve">
</t>
        </r>
      </text>
    </comment>
    <comment ref="I26" authorId="2" shapeId="0" xr:uid="{00000000-0006-0000-0C00-00000B000000}">
      <text>
        <r>
          <rPr>
            <b/>
            <sz val="9"/>
            <color indexed="81"/>
            <rFont val="Tahoma"/>
            <family val="2"/>
          </rPr>
          <t>Cheatham, Misty:</t>
        </r>
        <r>
          <rPr>
            <sz val="9"/>
            <color indexed="81"/>
            <rFont val="Tahoma"/>
            <family val="2"/>
          </rPr>
          <t xml:space="preserve">
kept the same</t>
        </r>
      </text>
    </comment>
    <comment ref="M26" authorId="2" shapeId="0" xr:uid="{00000000-0006-0000-0C00-00000C000000}">
      <text>
        <r>
          <rPr>
            <b/>
            <sz val="9"/>
            <color indexed="81"/>
            <rFont val="Tahoma"/>
            <family val="2"/>
          </rPr>
          <t>Cheatham, Misty:</t>
        </r>
        <r>
          <rPr>
            <sz val="9"/>
            <color indexed="81"/>
            <rFont val="Tahoma"/>
            <family val="2"/>
          </rPr>
          <t xml:space="preserve">
from MVC website</t>
        </r>
      </text>
    </comment>
    <comment ref="Q26" authorId="2" shapeId="0" xr:uid="{00000000-0006-0000-0C00-00000D000000}">
      <text>
        <r>
          <rPr>
            <b/>
            <sz val="9"/>
            <color indexed="81"/>
            <rFont val="Tahoma"/>
            <family val="2"/>
          </rPr>
          <t>Cheatham, Misty:</t>
        </r>
        <r>
          <rPr>
            <sz val="9"/>
            <color indexed="81"/>
            <rFont val="Tahoma"/>
            <family val="2"/>
          </rPr>
          <t xml:space="preserve">
left the same</t>
        </r>
      </text>
    </comment>
    <comment ref="M28" authorId="2" shapeId="0" xr:uid="{00000000-0006-0000-0C00-00000E000000}">
      <text>
        <r>
          <rPr>
            <b/>
            <sz val="9"/>
            <color indexed="81"/>
            <rFont val="Tahoma"/>
            <family val="2"/>
          </rPr>
          <t>Cheatham, Misty:</t>
        </r>
        <r>
          <rPr>
            <sz val="9"/>
            <color indexed="81"/>
            <rFont val="Tahoma"/>
            <family val="2"/>
          </rPr>
          <t xml:space="preserve">
from MVC website
</t>
        </r>
      </text>
    </comment>
    <comment ref="Q28" authorId="2" shapeId="0" xr:uid="{00000000-0006-0000-0C00-00000F000000}">
      <text>
        <r>
          <rPr>
            <b/>
            <sz val="9"/>
            <color indexed="81"/>
            <rFont val="Tahoma"/>
            <family val="2"/>
          </rPr>
          <t>Cheatham, Misty:</t>
        </r>
        <r>
          <rPr>
            <sz val="9"/>
            <color indexed="81"/>
            <rFont val="Tahoma"/>
            <family val="2"/>
          </rPr>
          <t xml:space="preserve">
left the same</t>
        </r>
      </text>
    </comment>
    <comment ref="I29" authorId="2" shapeId="0" xr:uid="{00000000-0006-0000-0C00-000010000000}">
      <text>
        <r>
          <rPr>
            <b/>
            <sz val="9"/>
            <color indexed="81"/>
            <rFont val="Tahoma"/>
            <family val="2"/>
          </rPr>
          <t>Cheatham, Misty:</t>
        </r>
        <r>
          <rPr>
            <sz val="9"/>
            <color indexed="81"/>
            <rFont val="Tahoma"/>
            <family val="2"/>
          </rPr>
          <t xml:space="preserve">
from Fusion</t>
        </r>
      </text>
    </comment>
    <comment ref="M29" authorId="2" shapeId="0" xr:uid="{00000000-0006-0000-0C00-000011000000}">
      <text>
        <r>
          <rPr>
            <b/>
            <sz val="9"/>
            <color indexed="81"/>
            <rFont val="Tahoma"/>
            <family val="2"/>
          </rPr>
          <t>Cheatham, Misty:</t>
        </r>
        <r>
          <rPr>
            <sz val="9"/>
            <color indexed="81"/>
            <rFont val="Tahoma"/>
            <family val="2"/>
          </rPr>
          <t xml:space="preserve">
from Fusion &amp; MVC website</t>
        </r>
      </text>
    </comment>
    <comment ref="Q29" authorId="2" shapeId="0" xr:uid="{00000000-0006-0000-0C00-000012000000}">
      <text>
        <r>
          <rPr>
            <b/>
            <sz val="9"/>
            <color indexed="81"/>
            <rFont val="Tahoma"/>
            <family val="2"/>
          </rPr>
          <t>Cheatham, Misty:</t>
        </r>
        <r>
          <rPr>
            <sz val="9"/>
            <color indexed="81"/>
            <rFont val="Tahoma"/>
            <family val="2"/>
          </rPr>
          <t xml:space="preserve">
from Fusion</t>
        </r>
      </text>
    </comment>
  </commentList>
</comments>
</file>

<file path=xl/sharedStrings.xml><?xml version="1.0" encoding="utf-8"?>
<sst xmlns="http://schemas.openxmlformats.org/spreadsheetml/2006/main" count="3734" uniqueCount="1481">
  <si>
    <t>How to use the TCO Workbook</t>
  </si>
  <si>
    <t>Positions Section</t>
  </si>
  <si>
    <t>Choose the type of position from the dropdowns in TCO Estimator tab- Columns D-F</t>
  </si>
  <si>
    <t>New FT Faculty &amp; Counselor Equip Allocation Section</t>
  </si>
  <si>
    <t>Need to fill in the number of positions being added.  The salaries are determined by using H-6 on the salary schedules.</t>
  </si>
  <si>
    <t>An allocation per position (desk, phone, computer, bookcase, chair, etc) will automaticaly poplulate when the number of</t>
  </si>
  <si>
    <t>positions is added.  The cost of these items are updated annually on the Rate Sheet tab.</t>
  </si>
  <si>
    <t>Equipment, Supplies and Services</t>
  </si>
  <si>
    <t>Fill in expected descriptions and expected costs</t>
  </si>
  <si>
    <t>The estimator for adding new sections is calculated by taking an average of how much was spent in each discipline and dividing it by the number of sections that same year.</t>
  </si>
  <si>
    <t>Select discipline from the dropdown list and enter the number of sections for the cost data to appear.</t>
  </si>
  <si>
    <t>Technology Section</t>
  </si>
  <si>
    <t>The Technology Tab was provided by the Technology Committee to estimate costs related to computers…information is entered on that tab and pulled onto the expenses tab.</t>
  </si>
  <si>
    <t>Capital Outlay</t>
  </si>
  <si>
    <t xml:space="preserve">In using this section for construction or remodel of buildings you can refer to the color coded tabs for M&amp;O Standards and also gross square footage by location.  </t>
  </si>
  <si>
    <t>This will also help you estimate utilities on the Utilities tab which will also pull onto the Expenses tab.</t>
  </si>
  <si>
    <t>The workbook has been protected with the exception of the cells that need to be filled in.</t>
  </si>
  <si>
    <t>Total Cost of Ownership Summary</t>
  </si>
  <si>
    <t>Planning Year:</t>
  </si>
  <si>
    <t>25/26</t>
  </si>
  <si>
    <t>Project Title:</t>
  </si>
  <si>
    <t>New One-Time</t>
  </si>
  <si>
    <t>New Ongoing</t>
  </si>
  <si>
    <t>Total</t>
  </si>
  <si>
    <t>Salaries and Benefits</t>
  </si>
  <si>
    <t>New FT Faculty &amp; Counselor Equip</t>
  </si>
  <si>
    <t>Equipment, Supplies &amp; Services</t>
  </si>
  <si>
    <t>Technology</t>
  </si>
  <si>
    <t>Additional Buildings</t>
  </si>
  <si>
    <t>50% Qualifying Costs</t>
  </si>
  <si>
    <t>50% Neutral Costs</t>
  </si>
  <si>
    <t>50% Non-Qualifying Costs</t>
  </si>
  <si>
    <t>Total Cost of Ownership Estimator</t>
  </si>
  <si>
    <r>
      <t>Select  Job Title (</t>
    </r>
    <r>
      <rPr>
        <b/>
        <i/>
        <sz val="14"/>
        <color rgb="FFFFFFFF"/>
        <rFont val="Calibri"/>
        <family val="2"/>
      </rPr>
      <t>Pick from Drop Down and Cost Information will populate automatically</t>
    </r>
    <r>
      <rPr>
        <b/>
        <sz val="14"/>
        <color rgb="FFFFFFFF"/>
        <rFont val="Calibri"/>
        <family val="2"/>
      </rPr>
      <t>)</t>
    </r>
  </si>
  <si>
    <t>One Time Salary</t>
  </si>
  <si>
    <t>Ongoing Salary</t>
  </si>
  <si>
    <t>Fixed Charges</t>
  </si>
  <si>
    <t>Health &amp; Welfare</t>
  </si>
  <si>
    <t>Certificated Administrator/Manager (STRS)</t>
  </si>
  <si>
    <t>Dean of Instruction</t>
  </si>
  <si>
    <t>Director, Business Services</t>
  </si>
  <si>
    <t>Full-Time Classified/Confidential - Position 1</t>
  </si>
  <si>
    <t>Tool Room Specialist</t>
  </si>
  <si>
    <t>Educational Advisor</t>
  </si>
  <si>
    <t>Full-Time Classified/Confidential - Position 2</t>
  </si>
  <si>
    <t>Web Applications Technician</t>
  </si>
  <si>
    <t xml:space="preserve">Permanent Part-Time Classified      </t>
  </si>
  <si>
    <t>Enter FTE</t>
  </si>
  <si>
    <t>Foster Youth Specialist</t>
  </si>
  <si>
    <t>Budget Analyst</t>
  </si>
  <si>
    <t xml:space="preserve">Full Time Faculty  </t>
  </si>
  <si>
    <t>Enter # of FT</t>
  </si>
  <si>
    <t xml:space="preserve">Full Time Counselor/Librarian </t>
  </si>
  <si>
    <t>Select Job Title</t>
  </si>
  <si>
    <t>Rate Will Fill In automatically when selecting job title</t>
  </si>
  <si>
    <t>Ongoing? Select Yes or No</t>
  </si>
  <si>
    <r>
      <t xml:space="preserve">Short Term Non Classified  </t>
    </r>
    <r>
      <rPr>
        <b/>
        <sz val="12"/>
        <rFont val="Calibri"/>
        <family val="2"/>
      </rPr>
      <t xml:space="preserve"> </t>
    </r>
  </si>
  <si>
    <t>Enter Annual Hrs</t>
  </si>
  <si>
    <t>Web Accessibility Technician</t>
  </si>
  <si>
    <t>No</t>
  </si>
  <si>
    <t xml:space="preserve">Student Employee </t>
  </si>
  <si>
    <t>Student Aide V</t>
  </si>
  <si>
    <t>Yes</t>
  </si>
  <si>
    <t xml:space="preserve">Associate Faculty   </t>
  </si>
  <si>
    <t>Enter FTE Load</t>
  </si>
  <si>
    <t>PT Counselor or Librarian</t>
  </si>
  <si>
    <t>Salaries and Benefits Total</t>
  </si>
  <si>
    <r>
      <rPr>
        <b/>
        <sz val="14"/>
        <color rgb="FF000000"/>
        <rFont val="Calibri"/>
        <family val="2"/>
      </rPr>
      <t>New FT Faculty &amp; Counselor Office Equipment Allocation</t>
    </r>
    <r>
      <rPr>
        <b/>
        <sz val="10"/>
        <color rgb="FF000000"/>
        <rFont val="Calibri"/>
        <family val="2"/>
      </rPr>
      <t xml:space="preserve"> </t>
    </r>
  </si>
  <si>
    <t>New One Time</t>
  </si>
  <si>
    <t>Desk, Bookcase &amp; Phone</t>
  </si>
  <si>
    <t>Will Populate Automatically When Adding FT Faculty &amp; Counseling Positions&gt;&gt;&gt;&gt;&gt;&gt;&gt;</t>
  </si>
  <si>
    <t>New FT Faculty &amp; Counselor Equipment Total</t>
  </si>
  <si>
    <t xml:space="preserve">*If you are adding permanent positions, please consider additional needs in the following areas only if needed. </t>
  </si>
  <si>
    <t>Life Cycle</t>
  </si>
  <si>
    <t>Enter Description</t>
  </si>
  <si>
    <t>Equipment</t>
  </si>
  <si>
    <t>Equipment Maintenance Agreements</t>
  </si>
  <si>
    <t>Furniture and Fixtures</t>
  </si>
  <si>
    <t>Instructional Equipment</t>
  </si>
  <si>
    <t>Printing or Copying Services</t>
  </si>
  <si>
    <t>Supplies</t>
  </si>
  <si>
    <t>Advertising</t>
  </si>
  <si>
    <t>Consultants/Specialists</t>
  </si>
  <si>
    <t>Memberships/Subscriptions</t>
  </si>
  <si>
    <t>Postage/Shipping/Bulk Mailing</t>
  </si>
  <si>
    <t>Travel/Conference/Training</t>
  </si>
  <si>
    <t>Equipment, Supplies &amp; Services Total</t>
  </si>
  <si>
    <t>Computer</t>
  </si>
  <si>
    <t>Operating cost</t>
  </si>
  <si>
    <t>Computer Hardware/Software</t>
  </si>
  <si>
    <t>Enter Information on Technology Tab</t>
  </si>
  <si>
    <t>Technology Total</t>
  </si>
  <si>
    <t xml:space="preserve"> Construction/Remodel of Buildings</t>
  </si>
  <si>
    <t>Capital Outlay - Buildings</t>
  </si>
  <si>
    <t>Building Construction/Acquisition</t>
  </si>
  <si>
    <t>Building Improvement</t>
  </si>
  <si>
    <t>Site Improvement</t>
  </si>
  <si>
    <t>Other</t>
  </si>
  <si>
    <t>Capital Outlay Total</t>
  </si>
  <si>
    <t>Operating Expenses - Buildings (Refer to M&amp;O Standards Tab for Personnel needed per Square Footage)</t>
  </si>
  <si>
    <t>Building Maintenance</t>
  </si>
  <si>
    <t>Building Security</t>
  </si>
  <si>
    <t>Landscape/Hardscape Maintenance</t>
  </si>
  <si>
    <t>Telephone</t>
  </si>
  <si>
    <t>Custodial Services/Supplies</t>
  </si>
  <si>
    <t>Utilities</t>
  </si>
  <si>
    <t>Use Utilities Estimator on Utilities Tab</t>
  </si>
  <si>
    <t>Operating Expenses Total</t>
  </si>
  <si>
    <t>Total - Additional Buildings</t>
  </si>
  <si>
    <t>POSITION TITLE</t>
  </si>
  <si>
    <t>Grade</t>
  </si>
  <si>
    <t>Step 1</t>
  </si>
  <si>
    <t>Step 2</t>
  </si>
  <si>
    <t>Step 3</t>
  </si>
  <si>
    <t>Step 4</t>
  </si>
  <si>
    <t>Market Step 5</t>
  </si>
  <si>
    <t>Updated 10/24/24</t>
  </si>
  <si>
    <r>
      <rPr>
        <sz val="10"/>
        <rFont val="Arial"/>
        <family val="2"/>
      </rPr>
      <t>Accounting Services Manager</t>
    </r>
  </si>
  <si>
    <r>
      <rPr>
        <sz val="10"/>
        <rFont val="Arial"/>
        <family val="2"/>
      </rPr>
      <t>U</t>
    </r>
  </si>
  <si>
    <r>
      <rPr>
        <sz val="10"/>
        <rFont val="Arial"/>
        <family val="2"/>
      </rPr>
      <t>Apprenticeship Director **</t>
    </r>
  </si>
  <si>
    <r>
      <rPr>
        <sz val="10"/>
        <rFont val="Arial"/>
        <family val="2"/>
      </rPr>
      <t>R</t>
    </r>
  </si>
  <si>
    <r>
      <rPr>
        <sz val="10"/>
        <rFont val="Arial"/>
        <family val="2"/>
      </rPr>
      <t>Assistant Custodial Manager</t>
    </r>
  </si>
  <si>
    <r>
      <rPr>
        <sz val="10"/>
        <rFont val="Arial"/>
        <family val="2"/>
      </rPr>
      <t>L</t>
    </r>
  </si>
  <si>
    <r>
      <rPr>
        <sz val="10"/>
        <rFont val="Arial"/>
        <family val="2"/>
      </rPr>
      <t>Assistant Dean, CalWorks &amp; Special Funded Programs **</t>
    </r>
  </si>
  <si>
    <r>
      <rPr>
        <sz val="10"/>
        <rFont val="Arial"/>
        <family val="2"/>
      </rPr>
      <t>S</t>
    </r>
  </si>
  <si>
    <r>
      <rPr>
        <sz val="10"/>
        <rFont val="Arial"/>
        <family val="2"/>
      </rPr>
      <t>Assistant Director, Admissions and Records</t>
    </r>
  </si>
  <si>
    <r>
      <rPr>
        <sz val="10"/>
        <rFont val="Arial"/>
        <family val="2"/>
      </rPr>
      <t>O</t>
    </r>
  </si>
  <si>
    <r>
      <rPr>
        <sz val="10"/>
        <rFont val="Arial"/>
        <family val="2"/>
      </rPr>
      <t>Assistant Director, CTE Projects</t>
    </r>
  </si>
  <si>
    <r>
      <rPr>
        <sz val="10"/>
        <rFont val="Arial"/>
        <family val="2"/>
      </rPr>
      <t>P</t>
    </r>
  </si>
  <si>
    <r>
      <rPr>
        <sz val="10"/>
        <rFont val="Arial"/>
        <family val="2"/>
      </rPr>
      <t>Assistant Director, District Technology Support Services</t>
    </r>
  </si>
  <si>
    <r>
      <rPr>
        <sz val="10"/>
        <rFont val="Arial"/>
        <family val="2"/>
      </rPr>
      <t>V</t>
    </r>
  </si>
  <si>
    <r>
      <rPr>
        <sz val="10"/>
        <rFont val="Arial"/>
        <family val="2"/>
      </rPr>
      <t>Assistant Director, EOPS</t>
    </r>
  </si>
  <si>
    <r>
      <rPr>
        <sz val="10"/>
        <rFont val="Arial"/>
        <family val="2"/>
      </rPr>
      <t>Assistant Director, Facilities, Maintenance and Operations</t>
    </r>
  </si>
  <si>
    <r>
      <rPr>
        <sz val="10"/>
        <rFont val="Arial"/>
        <family val="2"/>
      </rPr>
      <t>Assistant Director, Instructional Design</t>
    </r>
  </si>
  <si>
    <r>
      <rPr>
        <sz val="10"/>
        <rFont val="Arial"/>
        <family val="2"/>
      </rPr>
      <t>Assistant Director, RCCD Foundation</t>
    </r>
  </si>
  <si>
    <r>
      <rPr>
        <sz val="10"/>
        <rFont val="Arial"/>
        <family val="2"/>
      </rPr>
      <t>T</t>
    </r>
  </si>
  <si>
    <r>
      <rPr>
        <sz val="10"/>
        <rFont val="Arial"/>
        <family val="2"/>
      </rPr>
      <t>Assistant Director, Student Financial Services</t>
    </r>
  </si>
  <si>
    <r>
      <rPr>
        <sz val="10"/>
        <rFont val="Arial"/>
        <family val="2"/>
      </rPr>
      <t>Q</t>
    </r>
  </si>
  <si>
    <r>
      <rPr>
        <sz val="10"/>
        <rFont val="Arial"/>
        <family val="2"/>
      </rPr>
      <t>Assistant Director, Upward Bound</t>
    </r>
  </si>
  <si>
    <r>
      <rPr>
        <sz val="10"/>
        <rFont val="Arial"/>
        <family val="2"/>
      </rPr>
      <t>Assistant Manager, Food Services</t>
    </r>
  </si>
  <si>
    <r>
      <rPr>
        <sz val="10"/>
        <rFont val="Arial"/>
        <family val="2"/>
      </rPr>
      <t>Associate Dean, Academic Support</t>
    </r>
  </si>
  <si>
    <r>
      <rPr>
        <sz val="10"/>
        <rFont val="Arial"/>
        <family val="2"/>
      </rPr>
      <t>Associate Dean, Career and Technical Education</t>
    </r>
  </si>
  <si>
    <r>
      <rPr>
        <sz val="10"/>
        <rFont val="Arial"/>
        <family val="2"/>
      </rPr>
      <t>Associate Dean, CTE/Project Director, NSF</t>
    </r>
  </si>
  <si>
    <r>
      <rPr>
        <sz val="10"/>
        <rFont val="Arial"/>
        <family val="2"/>
      </rPr>
      <t>Associate Dean, Educational Partnerships</t>
    </r>
  </si>
  <si>
    <r>
      <rPr>
        <sz val="10"/>
        <rFont val="Arial"/>
        <family val="2"/>
      </rPr>
      <t>Associate Dean, Grants &amp; College Support Programs **</t>
    </r>
  </si>
  <si>
    <r>
      <rPr>
        <sz val="10"/>
        <rFont val="Arial"/>
        <family val="2"/>
      </rPr>
      <t>Associate Dean, Public Safety Education and Training</t>
    </r>
  </si>
  <si>
    <r>
      <rPr>
        <sz val="10"/>
        <rFont val="Arial"/>
        <family val="2"/>
      </rPr>
      <t>Associate Vice Chancellor, Economic Development</t>
    </r>
  </si>
  <si>
    <r>
      <rPr>
        <sz val="10"/>
        <rFont val="Arial"/>
        <family val="2"/>
      </rPr>
      <t>X</t>
    </r>
  </si>
  <si>
    <r>
      <rPr>
        <sz val="10"/>
        <rFont val="Arial"/>
        <family val="2"/>
      </rPr>
      <t>Associate Vice Chancellor, Educational Services and Institutional Effectiveness</t>
    </r>
  </si>
  <si>
    <r>
      <rPr>
        <sz val="10"/>
        <rFont val="Arial"/>
        <family val="2"/>
      </rPr>
      <t>AB</t>
    </r>
  </si>
  <si>
    <r>
      <rPr>
        <sz val="10"/>
        <rFont val="Arial"/>
        <family val="2"/>
      </rPr>
      <t>Associate Vice Chancellor, Facilities Planning &amp; Development</t>
    </r>
  </si>
  <si>
    <r>
      <rPr>
        <sz val="10"/>
        <rFont val="Arial"/>
        <family val="2"/>
      </rPr>
      <t>Associate Vice Chancellor, Grants and Economic Development</t>
    </r>
  </si>
  <si>
    <r>
      <rPr>
        <sz val="10"/>
        <rFont val="Arial"/>
        <family val="2"/>
      </rPr>
      <t>Associate Vice Chancellor, Information Technology &amp; Learning Services</t>
    </r>
  </si>
  <si>
    <r>
      <rPr>
        <sz val="10"/>
        <rFont val="Arial"/>
        <family val="2"/>
      </rPr>
      <t>Associate Vice Chancellor, Strategic Communications &amp; Institutional Advancem</t>
    </r>
  </si>
  <si>
    <r>
      <rPr>
        <sz val="10"/>
        <rFont val="Arial"/>
        <family val="2"/>
      </rPr>
      <t>Z</t>
    </r>
  </si>
  <si>
    <r>
      <rPr>
        <sz val="10"/>
        <rFont val="Arial"/>
        <family val="2"/>
      </rPr>
      <t>Campus Administrative Support Center Supervisor *</t>
    </r>
  </si>
  <si>
    <r>
      <rPr>
        <sz val="10"/>
        <rFont val="Arial"/>
        <family val="2"/>
      </rPr>
      <t>M</t>
    </r>
  </si>
  <si>
    <r>
      <rPr>
        <sz val="10"/>
        <rFont val="Arial"/>
        <family val="2"/>
      </rPr>
      <t>Chief Ambassador, MAP Initiative</t>
    </r>
  </si>
  <si>
    <r>
      <rPr>
        <sz val="10"/>
        <rFont val="Arial"/>
        <family val="2"/>
      </rPr>
      <t>Chief of Police</t>
    </r>
  </si>
  <si>
    <r>
      <rPr>
        <sz val="10"/>
        <rFont val="Arial"/>
        <family val="2"/>
      </rPr>
      <t>Chief of Staff</t>
    </r>
  </si>
  <si>
    <r>
      <rPr>
        <sz val="10"/>
        <rFont val="Arial"/>
        <family val="2"/>
      </rPr>
      <t>Community Education Supervisor *</t>
    </r>
  </si>
  <si>
    <r>
      <rPr>
        <sz val="10"/>
        <rFont val="Arial"/>
        <family val="2"/>
      </rPr>
      <t>Controller</t>
    </r>
  </si>
  <si>
    <r>
      <rPr>
        <sz val="10"/>
        <rFont val="Arial"/>
        <family val="2"/>
      </rPr>
      <t>Y</t>
    </r>
  </si>
  <si>
    <r>
      <rPr>
        <sz val="10"/>
        <rFont val="Arial"/>
        <family val="2"/>
      </rPr>
      <t>CTE Project Supervisor</t>
    </r>
  </si>
  <si>
    <r>
      <rPr>
        <sz val="10"/>
        <rFont val="Arial"/>
        <family val="2"/>
      </rPr>
      <t>Custodial Manager</t>
    </r>
  </si>
  <si>
    <r>
      <rPr>
        <sz val="10"/>
        <rFont val="Arial"/>
        <family val="2"/>
      </rPr>
      <t>N</t>
    </r>
  </si>
  <si>
    <r>
      <rPr>
        <sz val="10"/>
        <rFont val="Arial"/>
        <family val="2"/>
      </rPr>
      <t>Dean of College Equity, Inclusion and Engagement</t>
    </r>
  </si>
  <si>
    <r>
      <rPr>
        <sz val="10"/>
        <rFont val="Arial"/>
        <family val="2"/>
      </rPr>
      <t>Dean of Instruction</t>
    </r>
  </si>
  <si>
    <r>
      <rPr>
        <sz val="10"/>
        <rFont val="Arial"/>
        <family val="2"/>
      </rPr>
      <t>Dean of Instruction (Career &amp; Technical Education)</t>
    </r>
  </si>
  <si>
    <r>
      <rPr>
        <sz val="10"/>
        <rFont val="Arial"/>
        <family val="2"/>
      </rPr>
      <t>Dean of Instruction (Communications and Liberal Arts)</t>
    </r>
  </si>
  <si>
    <r>
      <rPr>
        <sz val="10"/>
        <rFont val="Arial"/>
        <family val="2"/>
      </rPr>
      <t>Dean of Instruction (Fine and Performing Arts)</t>
    </r>
  </si>
  <si>
    <r>
      <rPr>
        <sz val="10"/>
        <rFont val="Arial"/>
        <family val="2"/>
      </rPr>
      <t>Dean of Instruction (Language/Humanities/Social Science)</t>
    </r>
  </si>
  <si>
    <r>
      <rPr>
        <sz val="10"/>
        <rFont val="Arial"/>
        <family val="2"/>
      </rPr>
      <t>Dean of Instruction (STEM &amp; Kinesiology)</t>
    </r>
  </si>
  <si>
    <r>
      <rPr>
        <sz val="10"/>
        <rFont val="Arial"/>
        <family val="2"/>
      </rPr>
      <t>Dean of Instruction (STEM and CTE)</t>
    </r>
  </si>
  <si>
    <r>
      <rPr>
        <sz val="10"/>
        <rFont val="Arial"/>
        <family val="2"/>
      </rPr>
      <t>Dean of Instruction, CTE Programs &amp; Grants **</t>
    </r>
  </si>
  <si>
    <r>
      <rPr>
        <sz val="10"/>
        <rFont val="Arial"/>
        <family val="2"/>
      </rPr>
      <t>Dean of Instruction, Public Safety Education and Training</t>
    </r>
  </si>
  <si>
    <r>
      <rPr>
        <sz val="10"/>
        <rFont val="Arial"/>
        <family val="2"/>
      </rPr>
      <t>Dean, Admissions and Records</t>
    </r>
  </si>
  <si>
    <r>
      <rPr>
        <sz val="10"/>
        <rFont val="Arial"/>
        <family val="2"/>
      </rPr>
      <t>Dean, Community Partnerships and Workforce Development</t>
    </r>
  </si>
  <si>
    <r>
      <rPr>
        <sz val="10"/>
        <rFont val="Arial"/>
        <family val="2"/>
      </rPr>
      <t>W</t>
    </r>
  </si>
  <si>
    <r>
      <rPr>
        <sz val="10"/>
        <rFont val="Arial"/>
        <family val="2"/>
      </rPr>
      <t>Dean, Counseling &amp; Specially Funded Programs</t>
    </r>
  </si>
  <si>
    <r>
      <rPr>
        <sz val="10"/>
        <rFont val="Arial"/>
        <family val="2"/>
      </rPr>
      <t>Dean, Educational Services</t>
    </r>
  </si>
  <si>
    <r>
      <rPr>
        <sz val="10"/>
        <rFont val="Arial"/>
        <family val="2"/>
      </rPr>
      <t>Dean, Educational Services and Distance Learning</t>
    </r>
  </si>
  <si>
    <r>
      <rPr>
        <sz val="10"/>
        <rFont val="Arial"/>
        <family val="2"/>
      </rPr>
      <t>Dean, Enrollment Services</t>
    </r>
  </si>
  <si>
    <r>
      <rPr>
        <sz val="10"/>
        <rFont val="Arial"/>
        <family val="2"/>
      </rPr>
      <t>Dean, Enrollment Services and Engagement</t>
    </r>
  </si>
  <si>
    <r>
      <rPr>
        <sz val="10"/>
        <rFont val="Arial"/>
        <family val="2"/>
      </rPr>
      <t>Dean, Grants and Business Services</t>
    </r>
  </si>
  <si>
    <r>
      <rPr>
        <sz val="10"/>
        <rFont val="Arial"/>
        <family val="2"/>
      </rPr>
      <t>Dean, Grants and Economic Development</t>
    </r>
  </si>
  <si>
    <r>
      <rPr>
        <sz val="10"/>
        <rFont val="Arial"/>
        <family val="2"/>
      </rPr>
      <t>Dean, Grants and Student Equity Initiatives **</t>
    </r>
  </si>
  <si>
    <r>
      <rPr>
        <sz val="10"/>
        <rFont val="Arial"/>
        <family val="2"/>
      </rPr>
      <t>Dean, Grants Development and Administration</t>
    </r>
  </si>
  <si>
    <r>
      <rPr>
        <sz val="10"/>
        <rFont val="Arial"/>
        <family val="2"/>
      </rPr>
      <t>Dean, Institutional Effectiveness</t>
    </r>
  </si>
  <si>
    <r>
      <rPr>
        <sz val="10"/>
        <rFont val="Arial"/>
        <family val="2"/>
      </rPr>
      <t>Dean, Institutional Research and Strategic Planning</t>
    </r>
  </si>
  <si>
    <r>
      <rPr>
        <sz val="10"/>
        <rFont val="Arial"/>
        <family val="2"/>
      </rPr>
      <t>Dean, School of Nursing</t>
    </r>
  </si>
  <si>
    <r>
      <rPr>
        <sz val="10"/>
        <rFont val="Arial"/>
        <family val="2"/>
      </rPr>
      <t>Dean, Special Funded Programs **</t>
    </r>
  </si>
  <si>
    <r>
      <rPr>
        <sz val="10"/>
        <rFont val="Arial"/>
        <family val="2"/>
      </rPr>
      <t>Dean, Student Development and Wellness</t>
    </r>
  </si>
  <si>
    <r>
      <rPr>
        <sz val="10"/>
        <rFont val="Arial"/>
        <family val="2"/>
      </rPr>
      <t>Dean, Student Life</t>
    </r>
  </si>
  <si>
    <r>
      <rPr>
        <sz val="10"/>
        <rFont val="Arial"/>
        <family val="2"/>
      </rPr>
      <t>Dean, Student Services</t>
    </r>
  </si>
  <si>
    <r>
      <rPr>
        <sz val="10"/>
        <rFont val="Arial"/>
        <family val="2"/>
      </rPr>
      <t>Dean, Student Success and Academic Support</t>
    </r>
  </si>
  <si>
    <r>
      <rPr>
        <sz val="10"/>
        <rFont val="Arial"/>
        <family val="2"/>
      </rPr>
      <t>Dean, Student Success and Support</t>
    </r>
  </si>
  <si>
    <r>
      <rPr>
        <sz val="10"/>
        <rFont val="Arial"/>
        <family val="2"/>
      </rPr>
      <t>Dean, Technology &amp; Learning Resources</t>
    </r>
  </si>
  <si>
    <r>
      <rPr>
        <sz val="10"/>
        <rFont val="Arial"/>
        <family val="2"/>
      </rPr>
      <t>Director, Academic Support</t>
    </r>
  </si>
  <si>
    <r>
      <rPr>
        <sz val="10"/>
        <rFont val="Arial"/>
        <family val="2"/>
      </rPr>
      <t>Director, Administrative Applications</t>
    </r>
  </si>
  <si>
    <r>
      <rPr>
        <sz val="10"/>
        <rFont val="Arial"/>
        <family val="2"/>
      </rPr>
      <t>Director, Administrative Support Center</t>
    </r>
  </si>
  <si>
    <r>
      <rPr>
        <sz val="10"/>
        <rFont val="Arial"/>
        <family val="2"/>
      </rPr>
      <t>Director, Athletic Compliance</t>
    </r>
  </si>
  <si>
    <r>
      <rPr>
        <sz val="10"/>
        <rFont val="Arial"/>
        <family val="2"/>
      </rPr>
      <t>Director, Athletics</t>
    </r>
  </si>
  <si>
    <r>
      <rPr>
        <sz val="10"/>
        <rFont val="Arial"/>
        <family val="2"/>
      </rPr>
      <t>Director, Business Services</t>
    </r>
  </si>
  <si>
    <r>
      <rPr>
        <sz val="10"/>
        <rFont val="Arial"/>
        <family val="2"/>
      </rPr>
      <t>Director, Capital Planning</t>
    </r>
  </si>
  <si>
    <r>
      <rPr>
        <sz val="10"/>
        <rFont val="Arial"/>
        <family val="2"/>
      </rPr>
      <t>Director, Career &amp; Technical Education Projects **</t>
    </r>
  </si>
  <si>
    <r>
      <rPr>
        <sz val="10"/>
        <rFont val="Arial"/>
        <family val="2"/>
      </rPr>
      <t>Director, Career Center</t>
    </r>
  </si>
  <si>
    <r>
      <rPr>
        <sz val="10"/>
        <rFont val="Arial"/>
        <family val="2"/>
      </rPr>
      <t>Director, Center for International Students &amp; Programs</t>
    </r>
  </si>
  <si>
    <r>
      <rPr>
        <sz val="10"/>
        <rFont val="Arial"/>
        <family val="2"/>
      </rPr>
      <t>Director, Center for International Trade Development</t>
    </r>
  </si>
  <si>
    <r>
      <rPr>
        <sz val="10"/>
        <rFont val="Arial"/>
        <family val="2"/>
      </rPr>
      <t>Director, Center for Social Justice and Civil Liberties</t>
    </r>
  </si>
  <si>
    <r>
      <rPr>
        <sz val="10"/>
        <rFont val="Arial"/>
        <family val="2"/>
      </rPr>
      <t>Director, College Business Services</t>
    </r>
  </si>
  <si>
    <r>
      <rPr>
        <sz val="10"/>
        <rFont val="Arial"/>
        <family val="2"/>
      </rPr>
      <t>Director, College Corps Grant</t>
    </r>
  </si>
  <si>
    <r>
      <rPr>
        <sz val="10"/>
        <rFont val="Arial"/>
        <family val="2"/>
      </rPr>
      <t>Director, College Technology Support Services</t>
    </r>
  </si>
  <si>
    <r>
      <rPr>
        <sz val="10"/>
        <rFont val="Arial"/>
        <family val="2"/>
      </rPr>
      <t>Director, Construction</t>
    </r>
  </si>
  <si>
    <r>
      <rPr>
        <sz val="10"/>
        <rFont val="Arial"/>
        <family val="2"/>
      </rPr>
      <t>Director, Corporate and Business Development</t>
    </r>
  </si>
  <si>
    <r>
      <rPr>
        <sz val="10"/>
        <rFont val="Arial"/>
        <family val="2"/>
      </rPr>
      <t>Director, CTE and K-14 Regional Technical Assistant Provider</t>
    </r>
  </si>
  <si>
    <r>
      <rPr>
        <sz val="10"/>
        <rFont val="Arial"/>
        <family val="2"/>
      </rPr>
      <t>Director, Disability Support Programs **</t>
    </r>
  </si>
  <si>
    <r>
      <rPr>
        <sz val="10"/>
        <rFont val="Arial"/>
        <family val="2"/>
      </rPr>
      <t>Director, Disabled Student Programs and Services</t>
    </r>
  </si>
  <si>
    <r>
      <rPr>
        <sz val="10"/>
        <rFont val="Arial"/>
        <family val="2"/>
      </rPr>
      <t>Director, District Technology Support Services</t>
    </r>
  </si>
  <si>
    <r>
      <rPr>
        <sz val="10"/>
        <rFont val="Arial"/>
        <family val="2"/>
      </rPr>
      <t>Director, Employee and Labor Relations and College Support Services</t>
    </r>
  </si>
  <si>
    <r>
      <rPr>
        <sz val="10"/>
        <rFont val="Arial"/>
        <family val="2"/>
      </rPr>
      <t>Director, Enrollment Services</t>
    </r>
  </si>
  <si>
    <r>
      <rPr>
        <sz val="10"/>
        <rFont val="Arial"/>
        <family val="2"/>
      </rPr>
      <t>Director, Facilities</t>
    </r>
  </si>
  <si>
    <r>
      <rPr>
        <sz val="10"/>
        <rFont val="Arial"/>
        <family val="2"/>
      </rPr>
      <t>Director, Facilities Maintenance and Operations</t>
    </r>
  </si>
  <si>
    <r>
      <rPr>
        <sz val="10"/>
        <rFont val="Arial"/>
        <family val="2"/>
      </rPr>
      <t>Director, First Year Experience **</t>
    </r>
  </si>
  <si>
    <r>
      <rPr>
        <sz val="10"/>
        <rFont val="Arial"/>
        <family val="2"/>
      </rPr>
      <t>Director, Food Services</t>
    </r>
  </si>
  <si>
    <r>
      <rPr>
        <sz val="10"/>
        <rFont val="Arial"/>
        <family val="2"/>
      </rPr>
      <t>Director, Foster and Kinship Care Education Program **</t>
    </r>
  </si>
  <si>
    <r>
      <rPr>
        <sz val="10"/>
        <rFont val="Arial"/>
        <family val="2"/>
      </rPr>
      <t>Director, Government Contracts and Procurement **</t>
    </r>
  </si>
  <si>
    <r>
      <rPr>
        <sz val="10"/>
        <rFont val="Arial"/>
        <family val="2"/>
      </rPr>
      <t>Director, Government Relations</t>
    </r>
  </si>
  <si>
    <r>
      <rPr>
        <sz val="10"/>
        <rFont val="Arial"/>
        <family val="2"/>
      </rPr>
      <t>Director, Grants</t>
    </r>
  </si>
  <si>
    <r>
      <rPr>
        <sz val="10"/>
        <rFont val="Arial"/>
        <family val="2"/>
      </rPr>
      <t>Director, Health Services</t>
    </r>
  </si>
  <si>
    <r>
      <rPr>
        <sz val="10"/>
        <rFont val="Arial"/>
        <family val="2"/>
      </rPr>
      <t>Director, Information Technology Infrastructure &amp; Systems</t>
    </r>
  </si>
  <si>
    <r>
      <rPr>
        <sz val="10"/>
        <rFont val="Arial"/>
        <family val="2"/>
      </rPr>
      <t>Director, Inland Empire Tech Bridge</t>
    </r>
  </si>
  <si>
    <r>
      <rPr>
        <sz val="10"/>
        <rFont val="Arial"/>
        <family val="2"/>
      </rPr>
      <t>Director, Inland Empire Technical Trade Center</t>
    </r>
  </si>
  <si>
    <r>
      <rPr>
        <sz val="10"/>
        <rFont val="Arial"/>
        <family val="2"/>
      </rPr>
      <t>Director, Institutional Research</t>
    </r>
  </si>
  <si>
    <r>
      <rPr>
        <sz val="10"/>
        <rFont val="Arial"/>
        <family val="2"/>
      </rPr>
      <t>Director, Learning Resource Center</t>
    </r>
  </si>
  <si>
    <r>
      <rPr>
        <sz val="10"/>
        <rFont val="Arial"/>
        <family val="2"/>
      </rPr>
      <t>Director, Learning, Organizational Development, and Communications</t>
    </r>
  </si>
  <si>
    <r>
      <rPr>
        <sz val="10"/>
        <rFont val="Arial"/>
        <family val="2"/>
      </rPr>
      <t>Director, Middle College High School</t>
    </r>
  </si>
  <si>
    <r>
      <rPr>
        <sz val="10"/>
        <rFont val="Arial"/>
        <family val="2"/>
      </rPr>
      <t>Director, Next Phase Program</t>
    </r>
  </si>
  <si>
    <r>
      <rPr>
        <sz val="10"/>
        <rFont val="Arial"/>
        <family val="2"/>
      </rPr>
      <t>Director, Open Campus</t>
    </r>
  </si>
  <si>
    <r>
      <rPr>
        <sz val="10"/>
        <rFont val="Arial"/>
        <family val="2"/>
      </rPr>
      <t>Director, Pathways to Excellence (Title V) **</t>
    </r>
  </si>
  <si>
    <r>
      <rPr>
        <sz val="10"/>
        <rFont val="Arial"/>
        <family val="2"/>
      </rPr>
      <t>Director, Plant Operations &amp; Maintenance</t>
    </r>
  </si>
  <si>
    <r>
      <rPr>
        <sz val="10"/>
        <rFont val="Arial"/>
        <family val="2"/>
      </rPr>
      <t>Director, Regional Apprenticeship and Work-Based Learning Programs</t>
    </r>
  </si>
  <si>
    <r>
      <rPr>
        <sz val="10"/>
        <rFont val="Arial"/>
        <family val="2"/>
      </rPr>
      <t>Director, Regional Consortium Strategic Partnerships</t>
    </r>
  </si>
  <si>
    <r>
      <rPr>
        <sz val="10"/>
        <rFont val="Arial"/>
        <family val="2"/>
      </rPr>
      <t>Director, Risk Management</t>
    </r>
  </si>
  <si>
    <r>
      <rPr>
        <sz val="10"/>
        <rFont val="Arial"/>
        <family val="2"/>
      </rPr>
      <t>Director, Software Development</t>
    </r>
  </si>
  <si>
    <r>
      <rPr>
        <sz val="10"/>
        <rFont val="Arial"/>
        <family val="2"/>
      </rPr>
      <t>Director, Sports Information</t>
    </r>
  </si>
  <si>
    <r>
      <rPr>
        <sz val="10"/>
        <rFont val="Arial"/>
        <family val="2"/>
      </rPr>
      <t>Director, Staffing, Employment, and Records</t>
    </r>
  </si>
  <si>
    <r>
      <rPr>
        <sz val="10"/>
        <rFont val="Arial"/>
        <family val="2"/>
      </rPr>
      <t>Director, STEM Grant **</t>
    </r>
  </si>
  <si>
    <r>
      <rPr>
        <sz val="10"/>
        <rFont val="Arial"/>
        <family val="2"/>
      </rPr>
      <t>Director, STEM Innovation Center/Maker Space (HSI Title III/STEM Grant)</t>
    </r>
  </si>
  <si>
    <r>
      <rPr>
        <sz val="10"/>
        <rFont val="Arial"/>
        <family val="2"/>
      </rPr>
      <t>Director, Strong Workforce Strategic Communications and Marketing</t>
    </r>
  </si>
  <si>
    <r>
      <rPr>
        <sz val="10"/>
        <rFont val="Arial"/>
        <family val="2"/>
      </rPr>
      <t>Director, Student Access and Equity Support Programs **</t>
    </r>
  </si>
  <si>
    <r>
      <rPr>
        <sz val="10"/>
        <rFont val="Arial"/>
        <family val="2"/>
      </rPr>
      <t>Director, Student Financial Services</t>
    </r>
  </si>
  <si>
    <r>
      <rPr>
        <sz val="10"/>
        <rFont val="Arial"/>
        <family val="2"/>
      </rPr>
      <t>Director, Student Support Services Grant **</t>
    </r>
  </si>
  <si>
    <r>
      <rPr>
        <sz val="10"/>
        <rFont val="Arial"/>
        <family val="2"/>
      </rPr>
      <t>Director, TRiO Programs</t>
    </r>
  </si>
  <si>
    <r>
      <rPr>
        <sz val="10"/>
        <rFont val="Arial"/>
        <family val="2"/>
      </rPr>
      <t>Director, Tritech Small Business Development Center</t>
    </r>
  </si>
  <si>
    <r>
      <rPr>
        <sz val="10"/>
        <rFont val="Arial"/>
        <family val="2"/>
      </rPr>
      <t>Director, Upward Bound **</t>
    </r>
  </si>
  <si>
    <r>
      <rPr>
        <sz val="10"/>
        <rFont val="Arial"/>
        <family val="2"/>
      </rPr>
      <t>Director, Upward Bound Math and Science **</t>
    </r>
  </si>
  <si>
    <r>
      <rPr>
        <sz val="10"/>
        <rFont val="Arial"/>
        <family val="2"/>
      </rPr>
      <t>Director, Veterans Resource Center</t>
    </r>
  </si>
  <si>
    <r>
      <rPr>
        <sz val="10"/>
        <rFont val="Arial"/>
        <family val="2"/>
      </rPr>
      <t>Director, Web Applications</t>
    </r>
  </si>
  <si>
    <r>
      <rPr>
        <sz val="10"/>
        <rFont val="Arial"/>
        <family val="2"/>
      </rPr>
      <t>Director, Workforce and Economic Development Projects</t>
    </r>
  </si>
  <si>
    <r>
      <rPr>
        <sz val="10"/>
        <rFont val="Arial"/>
        <family val="2"/>
      </rPr>
      <t>District Compliance Officer</t>
    </r>
  </si>
  <si>
    <r>
      <rPr>
        <sz val="10"/>
        <rFont val="Arial"/>
        <family val="2"/>
      </rPr>
      <t>AA</t>
    </r>
  </si>
  <si>
    <r>
      <rPr>
        <sz val="10"/>
        <rFont val="Arial"/>
        <family val="2"/>
      </rPr>
      <t>Early Childhood Education Center Manager</t>
    </r>
  </si>
  <si>
    <r>
      <rPr>
        <sz val="10"/>
        <rFont val="Arial"/>
        <family val="2"/>
      </rPr>
      <t>Executive Director, Adult Education and Community Initiatives</t>
    </r>
  </si>
  <si>
    <r>
      <rPr>
        <sz val="10"/>
        <rFont val="Arial"/>
        <family val="2"/>
      </rPr>
      <t>Executive Director, Corporate and Business Innovation</t>
    </r>
  </si>
  <si>
    <r>
      <rPr>
        <sz val="10"/>
        <rFont val="Arial"/>
        <family val="2"/>
      </rPr>
      <t>Executive Director, Economic Development and Entrepreneurship</t>
    </r>
  </si>
  <si>
    <r>
      <rPr>
        <sz val="10"/>
        <rFont val="Arial"/>
        <family val="2"/>
      </rPr>
      <t>Executive Director, External Relations and Strategic Communications</t>
    </r>
  </si>
  <si>
    <r>
      <rPr>
        <sz val="10"/>
        <rFont val="Arial"/>
        <family val="2"/>
      </rPr>
      <t>Executive Director, Hospitality and Culinary Arts</t>
    </r>
  </si>
  <si>
    <r>
      <rPr>
        <sz val="10"/>
        <rFont val="Arial"/>
        <family val="2"/>
      </rPr>
      <t>Executive Director, Hospitality Program</t>
    </r>
  </si>
  <si>
    <r>
      <rPr>
        <sz val="10"/>
        <rFont val="Arial"/>
        <family val="2"/>
      </rPr>
      <t>Executive Director, Inland Empire/Strong Workforce Regional Consortium</t>
    </r>
  </si>
  <si>
    <r>
      <rPr>
        <sz val="10"/>
        <rFont val="Arial"/>
        <family val="2"/>
      </rPr>
      <t>Executive Director, Office of Grants and Sponsored Programs</t>
    </r>
  </si>
  <si>
    <r>
      <rPr>
        <sz val="10"/>
        <rFont val="Arial"/>
        <family val="2"/>
      </rPr>
      <t>Executive Director, RCCD Foundation</t>
    </r>
  </si>
  <si>
    <r>
      <rPr>
        <sz val="10"/>
        <rFont val="Arial"/>
        <family val="2"/>
      </rPr>
      <t>Facilities Development Director</t>
    </r>
  </si>
  <si>
    <r>
      <rPr>
        <sz val="10"/>
        <rFont val="Arial"/>
        <family val="2"/>
      </rPr>
      <t>General Counsel</t>
    </r>
  </si>
  <si>
    <r>
      <rPr>
        <sz val="10"/>
        <rFont val="Arial"/>
        <family val="2"/>
      </rPr>
      <t>Grounds Supervisor *</t>
    </r>
  </si>
  <si>
    <r>
      <rPr>
        <sz val="10"/>
        <rFont val="Arial"/>
        <family val="2"/>
      </rPr>
      <t>Health Services Supervisor *</t>
    </r>
  </si>
  <si>
    <r>
      <rPr>
        <sz val="10"/>
        <rFont val="Arial"/>
        <family val="2"/>
      </rPr>
      <t>Human Resources Administrative Manager</t>
    </r>
  </si>
  <si>
    <r>
      <rPr>
        <sz val="10"/>
        <rFont val="Arial"/>
        <family val="2"/>
      </rPr>
      <t>Information Architect - Open Campus**</t>
    </r>
  </si>
  <si>
    <r>
      <rPr>
        <sz val="10"/>
        <rFont val="Arial"/>
        <family val="2"/>
      </rPr>
      <t>Instructional Media Center Manager</t>
    </r>
  </si>
  <si>
    <r>
      <rPr>
        <sz val="10"/>
        <rFont val="Arial"/>
        <family val="2"/>
      </rPr>
      <t>Library/Learning Resources Administrative Manager</t>
    </r>
  </si>
  <si>
    <r>
      <rPr>
        <sz val="10"/>
        <rFont val="Arial"/>
        <family val="2"/>
      </rPr>
      <t>Maintenance Manager</t>
    </r>
  </si>
  <si>
    <r>
      <rPr>
        <sz val="10"/>
        <rFont val="Arial"/>
        <family val="2"/>
      </rPr>
      <t>Makerspace Project Supervisor</t>
    </r>
  </si>
  <si>
    <r>
      <rPr>
        <sz val="10"/>
        <rFont val="Arial"/>
        <family val="2"/>
      </rPr>
      <t>Manager, Business Services</t>
    </r>
  </si>
  <si>
    <r>
      <rPr>
        <sz val="10"/>
        <rFont val="Arial"/>
        <family val="2"/>
      </rPr>
      <t>Manager, District Safety and Emergency Preparedness</t>
    </r>
  </si>
  <si>
    <r>
      <rPr>
        <sz val="10"/>
        <rFont val="Arial"/>
        <family val="2"/>
      </rPr>
      <t>Manager, Facilities, Grounds and Utilization</t>
    </r>
  </si>
  <si>
    <r>
      <rPr>
        <sz val="10"/>
        <rFont val="Arial"/>
        <family val="2"/>
      </rPr>
      <t>Manager, Help Desk Services</t>
    </r>
  </si>
  <si>
    <r>
      <rPr>
        <sz val="10"/>
        <rFont val="Arial"/>
        <family val="2"/>
      </rPr>
      <t>Manager, Information Technology Projects</t>
    </r>
  </si>
  <si>
    <r>
      <rPr>
        <sz val="10"/>
        <rFont val="Arial"/>
        <family val="2"/>
      </rPr>
      <t>Manager, Technology Support Services</t>
    </r>
  </si>
  <si>
    <r>
      <rPr>
        <sz val="10"/>
        <rFont val="Arial"/>
        <family val="2"/>
      </rPr>
      <t>Mental Health Services Supervisor *</t>
    </r>
  </si>
  <si>
    <r>
      <rPr>
        <sz val="10"/>
        <rFont val="Arial"/>
        <family val="2"/>
      </rPr>
      <t>Network Manager</t>
    </r>
  </si>
  <si>
    <r>
      <rPr>
        <sz val="10"/>
        <rFont val="Arial"/>
        <family val="2"/>
      </rPr>
      <t>Outcomes Assessment Specialist **</t>
    </r>
  </si>
  <si>
    <r>
      <rPr>
        <sz val="10"/>
        <rFont val="Arial"/>
        <family val="2"/>
      </rPr>
      <t>Outreach Services Supervisor *</t>
    </r>
  </si>
  <si>
    <r>
      <rPr>
        <sz val="10"/>
        <rFont val="Arial"/>
        <family val="2"/>
      </rPr>
      <t>Parking Services Supervisor</t>
    </r>
  </si>
  <si>
    <r>
      <rPr>
        <sz val="10"/>
        <rFont val="Arial"/>
        <family val="2"/>
      </rPr>
      <t>Pathways Director</t>
    </r>
  </si>
  <si>
    <r>
      <rPr>
        <sz val="10"/>
        <rFont val="Arial"/>
        <family val="2"/>
      </rPr>
      <t>Payroll Manager</t>
    </r>
  </si>
  <si>
    <r>
      <rPr>
        <sz val="10"/>
        <rFont val="Arial"/>
        <family val="2"/>
      </rPr>
      <t>Program Director, NSF National Center for Supply Chain Automation</t>
    </r>
  </si>
  <si>
    <r>
      <rPr>
        <sz val="10"/>
        <rFont val="Arial"/>
        <family val="2"/>
      </rPr>
      <t>Program Director, Student Support Services **</t>
    </r>
  </si>
  <si>
    <r>
      <rPr>
        <sz val="10"/>
        <rFont val="Arial"/>
        <family val="2"/>
      </rPr>
      <t>Program Manager, Title V Grant</t>
    </r>
  </si>
  <si>
    <r>
      <rPr>
        <sz val="10"/>
        <rFont val="Arial"/>
        <family val="2"/>
      </rPr>
      <t>Project Director, Adult Education Block Grant**</t>
    </r>
  </si>
  <si>
    <r>
      <rPr>
        <sz val="10"/>
        <rFont val="Arial"/>
        <family val="2"/>
      </rPr>
      <t>Project Director, Foster Youth Support Network</t>
    </r>
  </si>
  <si>
    <r>
      <rPr>
        <sz val="10"/>
        <rFont val="Arial"/>
        <family val="2"/>
      </rPr>
      <t>Project Director, Gateway to College</t>
    </r>
  </si>
  <si>
    <r>
      <rPr>
        <sz val="10"/>
        <rFont val="Arial"/>
        <family val="2"/>
      </rPr>
      <t>Project Manager, STEM Grants</t>
    </r>
  </si>
  <si>
    <r>
      <rPr>
        <sz val="10"/>
        <rFont val="Arial"/>
        <family val="2"/>
      </rPr>
      <t>Purchasing Manager</t>
    </r>
  </si>
  <si>
    <r>
      <rPr>
        <sz val="10"/>
        <rFont val="Arial"/>
        <family val="2"/>
      </rPr>
      <t>Research and Assessment Manager</t>
    </r>
  </si>
  <si>
    <r>
      <rPr>
        <sz val="10"/>
        <rFont val="Arial"/>
        <family val="2"/>
      </rPr>
      <t>Safety &amp; Police Administrative Supervisor</t>
    </r>
  </si>
  <si>
    <r>
      <rPr>
        <sz val="10"/>
        <rFont val="Arial"/>
        <family val="2"/>
      </rPr>
      <t>Sergeant *</t>
    </r>
  </si>
  <si>
    <r>
      <rPr>
        <sz val="10"/>
        <rFont val="Arial"/>
        <family val="2"/>
      </rPr>
      <t>Statewide Director, Center for International Trade Development</t>
    </r>
  </si>
  <si>
    <r>
      <rPr>
        <sz val="10"/>
        <rFont val="Arial"/>
        <family val="2"/>
      </rPr>
      <t>Supervisor, Basic Needs and Wellness</t>
    </r>
  </si>
  <si>
    <r>
      <rPr>
        <sz val="10"/>
        <rFont val="Arial"/>
        <family val="2"/>
      </rPr>
      <t>Vice President, Academic Affairs</t>
    </r>
  </si>
  <si>
    <r>
      <rPr>
        <sz val="10"/>
        <rFont val="Arial"/>
        <family val="2"/>
      </rPr>
      <t>Vice President, Business Services</t>
    </r>
  </si>
  <si>
    <r>
      <rPr>
        <sz val="10"/>
        <rFont val="Arial"/>
        <family val="2"/>
      </rPr>
      <t>Vice President, Planning and Development</t>
    </r>
  </si>
  <si>
    <r>
      <rPr>
        <sz val="10"/>
        <rFont val="Arial"/>
        <family val="2"/>
      </rPr>
      <t>Vice President, Strategic Development</t>
    </r>
  </si>
  <si>
    <r>
      <rPr>
        <sz val="10"/>
        <rFont val="Arial"/>
        <family val="2"/>
      </rPr>
      <t>Vice President, Student Services</t>
    </r>
  </si>
  <si>
    <r>
      <rPr>
        <sz val="10"/>
        <rFont val="Arial"/>
        <family val="2"/>
      </rPr>
      <t>Warehouse Supervisor *</t>
    </r>
  </si>
  <si>
    <t>Salary</t>
  </si>
  <si>
    <t>H-6</t>
  </si>
  <si>
    <t>Input current H-6 salary from Counselor, Librarian, Student Activities Coordinator salary schedule</t>
  </si>
  <si>
    <t>STRS</t>
  </si>
  <si>
    <t>Medi</t>
  </si>
  <si>
    <t>SUI</t>
  </si>
  <si>
    <t>WC</t>
  </si>
  <si>
    <t>GL&amp;P</t>
  </si>
  <si>
    <t>OPEB</t>
  </si>
  <si>
    <t>H&amp;W*</t>
  </si>
  <si>
    <t>TCP</t>
  </si>
  <si>
    <t>*Standard H&amp;W with Jefferson Pilot Life, Delta Dental and Health Net Family (exceeds RCCD family plan)</t>
  </si>
  <si>
    <t>The fixed charge rates will update when the Rate Sheet is updated.</t>
  </si>
  <si>
    <t>Employee Benefits- Delta</t>
  </si>
  <si>
    <t>Employee Benefits- Jefferson</t>
  </si>
  <si>
    <t>Employee Benefits- Health Net</t>
  </si>
  <si>
    <t>Updated 12/1/2025 JJD.</t>
  </si>
  <si>
    <r>
      <rPr>
        <sz val="10"/>
        <rFont val="Arial"/>
        <family val="2"/>
      </rPr>
      <t>Assistant Director, Network Services</t>
    </r>
  </si>
  <si>
    <r>
      <rPr>
        <sz val="10"/>
        <rFont val="Arial"/>
        <family val="2"/>
      </rPr>
      <t>Associate Vice Chancellor, Strategic Partnerships &amp; Workfoce and Economic D</t>
    </r>
  </si>
  <si>
    <r>
      <rPr>
        <sz val="10"/>
        <rFont val="Arial"/>
        <family val="2"/>
      </rPr>
      <t>Dean, Institutional Research, Planning, and Effectiveness</t>
    </r>
  </si>
  <si>
    <r>
      <rPr>
        <sz val="10"/>
        <rFont val="Arial"/>
        <family val="2"/>
      </rPr>
      <t>Director, Football Operations/Head Football Coach</t>
    </r>
  </si>
  <si>
    <r>
      <rPr>
        <sz val="10"/>
        <rFont val="Arial"/>
        <family val="2"/>
      </rPr>
      <t>Director, Veterans Upward Bound</t>
    </r>
  </si>
  <si>
    <r>
      <rPr>
        <sz val="10"/>
        <rFont val="Arial"/>
        <family val="2"/>
      </rPr>
      <t>Program Manager, Basic Needs and Wellness</t>
    </r>
  </si>
  <si>
    <t>Job Description Title</t>
  </si>
  <si>
    <t>Step 5</t>
  </si>
  <si>
    <r>
      <rPr>
        <sz val="9.5"/>
        <rFont val="Arial"/>
        <family val="2"/>
      </rPr>
      <t>Academic Evaluations Coordinator</t>
    </r>
  </si>
  <si>
    <r>
      <rPr>
        <sz val="9.5"/>
        <rFont val="Arial"/>
        <family val="2"/>
      </rPr>
      <t>M</t>
    </r>
  </si>
  <si>
    <t>Final Salary Schedule for 25/26</t>
  </si>
  <si>
    <r>
      <rPr>
        <sz val="9.5"/>
        <rFont val="Arial"/>
        <family val="2"/>
      </rPr>
      <t>Academic Evaluations Specialist</t>
    </r>
  </si>
  <si>
    <r>
      <rPr>
        <sz val="9.5"/>
        <rFont val="Arial"/>
        <family val="2"/>
      </rPr>
      <t>K</t>
    </r>
  </si>
  <si>
    <t>(L) Indicates legacy salaries for employees hired prior to April 2, 2024.</t>
  </si>
  <si>
    <r>
      <rPr>
        <sz val="9.5"/>
        <rFont val="Arial"/>
        <family val="2"/>
      </rPr>
      <t>Academic Support Coordinator</t>
    </r>
  </si>
  <si>
    <r>
      <rPr>
        <sz val="9.5"/>
        <rFont val="Arial"/>
        <family val="2"/>
      </rPr>
      <t>Accessible Technology and Media Coordinator</t>
    </r>
  </si>
  <si>
    <r>
      <rPr>
        <sz val="9.5"/>
        <rFont val="Arial"/>
        <family val="2"/>
      </rPr>
      <t>N</t>
    </r>
  </si>
  <si>
    <r>
      <rPr>
        <sz val="9.5"/>
        <rFont val="Arial"/>
        <family val="2"/>
      </rPr>
      <t>Accessible Technology and Media Coordinator</t>
    </r>
    <r>
      <rPr>
        <sz val="9.5"/>
        <rFont val="Arial"/>
        <family val="2"/>
      </rPr>
      <t xml:space="preserve"> (L)</t>
    </r>
  </si>
  <si>
    <r>
      <rPr>
        <sz val="9.5"/>
        <rFont val="Arial"/>
        <family val="2"/>
      </rPr>
      <t>O</t>
    </r>
  </si>
  <si>
    <r>
      <rPr>
        <sz val="9.5"/>
        <rFont val="Arial"/>
        <family val="2"/>
      </rPr>
      <t>Accounting Services Clerk</t>
    </r>
  </si>
  <si>
    <r>
      <rPr>
        <sz val="9.5"/>
        <rFont val="Arial"/>
        <family val="2"/>
      </rPr>
      <t>Accounting Technician</t>
    </r>
  </si>
  <si>
    <r>
      <rPr>
        <sz val="9.5"/>
        <rFont val="Arial"/>
        <family val="2"/>
      </rPr>
      <t>J</t>
    </r>
  </si>
  <si>
    <r>
      <rPr>
        <sz val="9.5"/>
        <rFont val="Arial"/>
        <family val="2"/>
      </rPr>
      <t>Accounting Technician</t>
    </r>
    <r>
      <rPr>
        <sz val="9.5"/>
        <rFont val="Arial"/>
        <family val="2"/>
      </rPr>
      <t xml:space="preserve"> (L)</t>
    </r>
  </si>
  <si>
    <r>
      <rPr>
        <sz val="9.5"/>
        <rFont val="Arial"/>
        <family val="2"/>
      </rPr>
      <t>Adaptive Technology Specialist</t>
    </r>
  </si>
  <si>
    <r>
      <rPr>
        <sz val="9.5"/>
        <rFont val="Arial"/>
        <family val="2"/>
      </rPr>
      <t>L</t>
    </r>
  </si>
  <si>
    <r>
      <rPr>
        <sz val="9.5"/>
        <rFont val="Arial"/>
        <family val="2"/>
      </rPr>
      <t>Administrative Coordinator</t>
    </r>
  </si>
  <si>
    <r>
      <rPr>
        <sz val="9.5"/>
        <rFont val="Arial"/>
        <family val="2"/>
      </rPr>
      <t>Administrative Specialist</t>
    </r>
  </si>
  <si>
    <r>
      <rPr>
        <sz val="9.5"/>
        <rFont val="Arial"/>
        <family val="2"/>
      </rPr>
      <t>Administrative Technician</t>
    </r>
  </si>
  <si>
    <r>
      <rPr>
        <sz val="9.5"/>
        <rFont val="Arial"/>
        <family val="2"/>
      </rPr>
      <t>I</t>
    </r>
  </si>
  <si>
    <r>
      <rPr>
        <sz val="9.5"/>
        <rFont val="Arial"/>
        <family val="2"/>
      </rPr>
      <t>Analyst/Programmer</t>
    </r>
  </si>
  <si>
    <r>
      <rPr>
        <sz val="9.5"/>
        <rFont val="Arial"/>
        <family val="2"/>
      </rPr>
      <t>T</t>
    </r>
  </si>
  <si>
    <r>
      <rPr>
        <sz val="9.5"/>
        <rFont val="Arial"/>
        <family val="2"/>
      </rPr>
      <t>Applications Analyst</t>
    </r>
  </si>
  <si>
    <r>
      <rPr>
        <sz val="9.5"/>
        <rFont val="Arial"/>
        <family val="2"/>
      </rPr>
      <t>Applications Specialist</t>
    </r>
  </si>
  <si>
    <r>
      <rPr>
        <sz val="9.5"/>
        <rFont val="Arial"/>
        <family val="2"/>
      </rPr>
      <t>Aquatics Coordinator</t>
    </r>
  </si>
  <si>
    <r>
      <rPr>
        <sz val="9.5"/>
        <rFont val="Arial"/>
        <family val="2"/>
      </rPr>
      <t>Art Gallery Coordinator/Curator</t>
    </r>
  </si>
  <si>
    <r>
      <rPr>
        <sz val="9.5"/>
        <rFont val="Arial"/>
        <family val="2"/>
      </rPr>
      <t>Athletic Equipment Specialist</t>
    </r>
  </si>
  <si>
    <r>
      <rPr>
        <sz val="9.5"/>
        <rFont val="Arial"/>
        <family val="2"/>
      </rPr>
      <t>G</t>
    </r>
  </si>
  <si>
    <r>
      <rPr>
        <sz val="9.5"/>
        <rFont val="Arial"/>
        <family val="2"/>
      </rPr>
      <t>Athletic Field Caretaker</t>
    </r>
  </si>
  <si>
    <r>
      <rPr>
        <sz val="9.5"/>
        <rFont val="Arial"/>
        <family val="2"/>
      </rPr>
      <t>F</t>
    </r>
  </si>
  <si>
    <r>
      <rPr>
        <sz val="9.5"/>
        <rFont val="Arial"/>
        <family val="2"/>
      </rPr>
      <t>Budget Analyst</t>
    </r>
  </si>
  <si>
    <r>
      <rPr>
        <sz val="9.5"/>
        <rFont val="Arial"/>
        <family val="2"/>
      </rPr>
      <t>P</t>
    </r>
  </si>
  <si>
    <r>
      <rPr>
        <sz val="9.5"/>
        <rFont val="Arial"/>
        <family val="2"/>
      </rPr>
      <t>Business Systems Analyst</t>
    </r>
  </si>
  <si>
    <r>
      <rPr>
        <sz val="9.5"/>
        <rFont val="Arial"/>
        <family val="2"/>
      </rPr>
      <t>CalWORKs Specialist</t>
    </r>
  </si>
  <si>
    <r>
      <rPr>
        <sz val="9.5"/>
        <rFont val="Arial"/>
        <family val="2"/>
      </rPr>
      <t>Capital Asset Inventory Technician</t>
    </r>
  </si>
  <si>
    <r>
      <rPr>
        <sz val="9.5"/>
        <rFont val="Arial"/>
        <family val="2"/>
      </rPr>
      <t>E</t>
    </r>
  </si>
  <si>
    <r>
      <rPr>
        <sz val="9.5"/>
        <rFont val="Arial"/>
        <family val="2"/>
      </rPr>
      <t>Cashier/Clerk</t>
    </r>
  </si>
  <si>
    <r>
      <rPr>
        <sz val="9.5"/>
        <rFont val="Arial"/>
        <family val="2"/>
      </rPr>
      <t>Certified Athletic Trainer</t>
    </r>
  </si>
  <si>
    <r>
      <rPr>
        <sz val="9.5"/>
        <rFont val="Arial"/>
        <family val="2"/>
      </rPr>
      <t>Collaborative Artist – Dance</t>
    </r>
  </si>
  <si>
    <r>
      <rPr>
        <sz val="9.5"/>
        <rFont val="Arial"/>
        <family val="2"/>
      </rPr>
      <t>Collaborative Artist – Music</t>
    </r>
  </si>
  <si>
    <r>
      <rPr>
        <sz val="9.5"/>
        <rFont val="Arial"/>
        <family val="2"/>
      </rPr>
      <t>Collaborative Artist – Theater</t>
    </r>
  </si>
  <si>
    <r>
      <rPr>
        <sz val="9.5"/>
        <rFont val="Arial"/>
        <family val="2"/>
      </rPr>
      <t>College Health Licensed Vocational Nurse</t>
    </r>
  </si>
  <si>
    <r>
      <rPr>
        <sz val="9.5"/>
        <rFont val="Arial"/>
        <family val="2"/>
      </rPr>
      <t>College Health Registered Nurse</t>
    </r>
  </si>
  <si>
    <r>
      <rPr>
        <sz val="9.5"/>
        <rFont val="Arial"/>
        <family val="2"/>
      </rPr>
      <t>Q</t>
    </r>
  </si>
  <si>
    <r>
      <rPr>
        <sz val="9.5"/>
        <rFont val="Arial"/>
        <family val="2"/>
      </rPr>
      <t>Community Service Aide</t>
    </r>
  </si>
  <si>
    <r>
      <rPr>
        <sz val="9.5"/>
        <rFont val="Arial"/>
        <family val="2"/>
      </rPr>
      <t>D</t>
    </r>
  </si>
  <si>
    <r>
      <rPr>
        <sz val="9.5"/>
        <rFont val="Arial"/>
        <family val="2"/>
      </rPr>
      <t>Community Service Aide, Senior</t>
    </r>
  </si>
  <si>
    <r>
      <rPr>
        <sz val="9.5"/>
        <rFont val="Arial"/>
        <family val="2"/>
      </rPr>
      <t>Copy Center Operator</t>
    </r>
  </si>
  <si>
    <t>Copy Center Operator (L)</t>
  </si>
  <si>
    <r>
      <rPr>
        <sz val="9.5"/>
        <rFont val="Arial"/>
        <family val="2"/>
      </rPr>
      <t>H</t>
    </r>
  </si>
  <si>
    <r>
      <rPr>
        <sz val="9.5"/>
        <rFont val="Arial"/>
        <family val="2"/>
      </rPr>
      <t>Corporal, Police Officer</t>
    </r>
  </si>
  <si>
    <r>
      <rPr>
        <sz val="9.5"/>
        <rFont val="Arial"/>
        <family val="2"/>
      </rPr>
      <t>Curriculum Analyst</t>
    </r>
  </si>
  <si>
    <r>
      <rPr>
        <sz val="9.5"/>
        <rFont val="Arial"/>
        <family val="2"/>
      </rPr>
      <t>R</t>
    </r>
  </si>
  <si>
    <r>
      <rPr>
        <sz val="9.5"/>
        <rFont val="Arial"/>
        <family val="2"/>
      </rPr>
      <t>Curriculum Program Coordinator</t>
    </r>
  </si>
  <si>
    <r>
      <rPr>
        <sz val="9.5"/>
        <rFont val="Arial"/>
        <family val="2"/>
      </rPr>
      <t>Custodian</t>
    </r>
  </si>
  <si>
    <r>
      <rPr>
        <sz val="9.5"/>
        <rFont val="Arial"/>
        <family val="2"/>
      </rPr>
      <t>Custodian, Senior</t>
    </r>
  </si>
  <si>
    <r>
      <rPr>
        <sz val="9.5"/>
        <rFont val="Arial"/>
        <family val="2"/>
      </rPr>
      <t>Cybersecurity Analyst</t>
    </r>
  </si>
  <si>
    <r>
      <rPr>
        <sz val="9.5"/>
        <rFont val="Arial"/>
        <family val="2"/>
      </rPr>
      <t>Deaf and Hard of Hearing Coordinator</t>
    </r>
  </si>
  <si>
    <r>
      <rPr>
        <sz val="9.5"/>
        <rFont val="Arial"/>
        <family val="2"/>
      </rPr>
      <t>Development Officer</t>
    </r>
  </si>
  <si>
    <r>
      <rPr>
        <sz val="9.5"/>
        <rFont val="Arial"/>
        <family val="2"/>
      </rPr>
      <t>Development Services Specialist</t>
    </r>
  </si>
  <si>
    <r>
      <rPr>
        <sz val="9.5"/>
        <rFont val="Arial"/>
        <family val="2"/>
      </rPr>
      <t>Disability Resource Specialist</t>
    </r>
  </si>
  <si>
    <r>
      <rPr>
        <sz val="9.5"/>
        <rFont val="Arial"/>
        <family val="2"/>
      </rPr>
      <t>Disability Resource Specialist</t>
    </r>
    <r>
      <rPr>
        <sz val="9.5"/>
        <rFont val="Arial"/>
        <family val="2"/>
      </rPr>
      <t xml:space="preserve"> (L)</t>
    </r>
  </si>
  <si>
    <r>
      <rPr>
        <sz val="9.5"/>
        <rFont val="Arial"/>
        <family val="2"/>
      </rPr>
      <t>Disability Technology Specialist</t>
    </r>
  </si>
  <si>
    <r>
      <rPr>
        <sz val="9.5"/>
        <rFont val="Arial"/>
        <family val="2"/>
      </rPr>
      <t>District Photographer</t>
    </r>
  </si>
  <si>
    <r>
      <rPr>
        <sz val="9.5"/>
        <rFont val="Arial"/>
        <family val="2"/>
      </rPr>
      <t>Document Services Coordinator</t>
    </r>
  </si>
  <si>
    <r>
      <rPr>
        <sz val="9.5"/>
        <rFont val="Arial"/>
        <family val="2"/>
      </rPr>
      <t>Economic Development Specialist</t>
    </r>
  </si>
  <si>
    <r>
      <rPr>
        <sz val="9.5"/>
        <rFont val="Arial"/>
        <family val="2"/>
      </rPr>
      <t>Educational Resource Advisor</t>
    </r>
  </si>
  <si>
    <r>
      <rPr>
        <sz val="9.5"/>
        <rFont val="Arial"/>
        <family val="2"/>
      </rPr>
      <t>Educational Services Program Support Coordinator</t>
    </r>
  </si>
  <si>
    <r>
      <rPr>
        <sz val="9.5"/>
        <rFont val="Arial"/>
        <family val="2"/>
      </rPr>
      <t>Emergency Preparedness and Safety Coordinator</t>
    </r>
  </si>
  <si>
    <r>
      <rPr>
        <sz val="9.5"/>
        <rFont val="Arial"/>
        <family val="2"/>
      </rPr>
      <t>Enrollment Services Coordinator</t>
    </r>
  </si>
  <si>
    <r>
      <rPr>
        <sz val="9.5"/>
        <rFont val="Arial"/>
        <family val="2"/>
      </rPr>
      <t>EOPS Specialist</t>
    </r>
  </si>
  <si>
    <r>
      <rPr>
        <sz val="9.5"/>
        <rFont val="Arial"/>
        <family val="2"/>
      </rPr>
      <t>EOPS Specialist</t>
    </r>
    <r>
      <rPr>
        <sz val="9.5"/>
        <rFont val="Arial"/>
        <family val="2"/>
      </rPr>
      <t xml:space="preserve"> (L)</t>
    </r>
  </si>
  <si>
    <r>
      <rPr>
        <sz val="9.5"/>
        <rFont val="Arial"/>
        <family val="2"/>
      </rPr>
      <t>Facilities Planning Fiscal Specialist</t>
    </r>
  </si>
  <si>
    <r>
      <rPr>
        <sz val="9.5"/>
        <rFont val="Arial"/>
        <family val="2"/>
      </rPr>
      <t>Facilities Planning Specialist</t>
    </r>
  </si>
  <si>
    <r>
      <rPr>
        <sz val="9.5"/>
        <rFont val="Arial"/>
        <family val="2"/>
      </rPr>
      <t>Facilities Utilization Coordinator</t>
    </r>
  </si>
  <si>
    <r>
      <rPr>
        <sz val="9.5"/>
        <rFont val="Arial"/>
        <family val="2"/>
      </rPr>
      <t>Financial Aid Account Specialist</t>
    </r>
  </si>
  <si>
    <r>
      <rPr>
        <sz val="9.5"/>
        <rFont val="Arial"/>
        <family val="2"/>
      </rPr>
      <t>Financial Aid Analyst</t>
    </r>
  </si>
  <si>
    <t>Financial Aid Analyst (L)</t>
  </si>
  <si>
    <r>
      <rPr>
        <sz val="9.5"/>
        <rFont val="Arial"/>
        <family val="2"/>
      </rPr>
      <t>Financial Aid Officer</t>
    </r>
  </si>
  <si>
    <r>
      <rPr>
        <sz val="9.5"/>
        <rFont val="Arial"/>
        <family val="2"/>
      </rPr>
      <t>Financial Aid Officer</t>
    </r>
    <r>
      <rPr>
        <sz val="9.5"/>
        <rFont val="Arial"/>
        <family val="2"/>
      </rPr>
      <t xml:space="preserve"> (L)</t>
    </r>
  </si>
  <si>
    <r>
      <rPr>
        <sz val="9.5"/>
        <rFont val="Arial"/>
        <family val="2"/>
      </rPr>
      <t>Financial Aid Specialist</t>
    </r>
  </si>
  <si>
    <r>
      <rPr>
        <sz val="9.5"/>
        <rFont val="Arial"/>
        <family val="2"/>
      </rPr>
      <t>Financial Aid Systems Administrator</t>
    </r>
  </si>
  <si>
    <r>
      <rPr>
        <sz val="9.5"/>
        <rFont val="Arial"/>
        <family val="2"/>
      </rPr>
      <t>Fiscal and Technical Analyst</t>
    </r>
  </si>
  <si>
    <r>
      <rPr>
        <sz val="9.5"/>
        <rFont val="Arial"/>
        <family val="2"/>
      </rPr>
      <t>Fiscal Specialist</t>
    </r>
  </si>
  <si>
    <r>
      <rPr>
        <sz val="9.5"/>
        <rFont val="Arial"/>
        <family val="2"/>
      </rPr>
      <t>Fiscal Technician</t>
    </r>
  </si>
  <si>
    <r>
      <rPr>
        <sz val="9.5"/>
        <rFont val="Arial"/>
        <family val="2"/>
      </rPr>
      <t>Food Service Specialist</t>
    </r>
  </si>
  <si>
    <r>
      <rPr>
        <sz val="9.5"/>
        <rFont val="Arial"/>
        <family val="2"/>
      </rPr>
      <t>C</t>
    </r>
  </si>
  <si>
    <r>
      <rPr>
        <sz val="9.5"/>
        <rFont val="Arial"/>
        <family val="2"/>
      </rPr>
      <t>Food Service Specialist</t>
    </r>
    <r>
      <rPr>
        <sz val="9.5"/>
        <rFont val="Arial"/>
        <family val="2"/>
      </rPr>
      <t xml:space="preserve"> (L)</t>
    </r>
  </si>
  <si>
    <r>
      <rPr>
        <sz val="9.5"/>
        <rFont val="Arial"/>
        <family val="2"/>
      </rPr>
      <t>Food Service Technician</t>
    </r>
  </si>
  <si>
    <r>
      <rPr>
        <sz val="9.5"/>
        <rFont val="Arial"/>
        <family val="2"/>
      </rPr>
      <t>A</t>
    </r>
  </si>
  <si>
    <r>
      <rPr>
        <sz val="9.5"/>
        <rFont val="Arial"/>
        <family val="2"/>
      </rPr>
      <t>Food Service Technician</t>
    </r>
    <r>
      <rPr>
        <sz val="9.5"/>
        <rFont val="Arial"/>
        <family val="2"/>
      </rPr>
      <t xml:space="preserve"> (L)</t>
    </r>
  </si>
  <si>
    <r>
      <rPr>
        <sz val="9.5"/>
        <rFont val="Arial"/>
        <family val="2"/>
      </rPr>
      <t>Foster Youth Specialist</t>
    </r>
  </si>
  <si>
    <r>
      <rPr>
        <sz val="9.5"/>
        <rFont val="Arial"/>
        <family val="2"/>
      </rPr>
      <t>Grants Writer</t>
    </r>
  </si>
  <si>
    <r>
      <rPr>
        <sz val="9.5"/>
        <rFont val="Arial"/>
        <family val="2"/>
      </rPr>
      <t>Graphic Designer</t>
    </r>
  </si>
  <si>
    <r>
      <rPr>
        <sz val="9.5"/>
        <rFont val="Arial"/>
        <family val="2"/>
      </rPr>
      <t>Graphic Designer, Senior</t>
    </r>
  </si>
  <si>
    <r>
      <rPr>
        <sz val="9.5"/>
        <rFont val="Arial"/>
        <family val="2"/>
      </rPr>
      <t>Grounds Equipment Repairperson/Operator</t>
    </r>
  </si>
  <si>
    <r>
      <rPr>
        <sz val="9.5"/>
        <rFont val="Arial"/>
        <family val="2"/>
      </rPr>
      <t>Groundskeeper</t>
    </r>
  </si>
  <si>
    <r>
      <rPr>
        <sz val="9.5"/>
        <rFont val="Arial"/>
        <family val="2"/>
      </rPr>
      <t>Groundskeeper, Senior</t>
    </r>
  </si>
  <si>
    <r>
      <rPr>
        <sz val="9.5"/>
        <rFont val="Arial"/>
        <family val="2"/>
      </rPr>
      <t>Health Services Specialist</t>
    </r>
  </si>
  <si>
    <r>
      <rPr>
        <sz val="9.5"/>
        <rFont val="Arial"/>
        <family val="2"/>
      </rPr>
      <t>High School Articulation Coordinator</t>
    </r>
  </si>
  <si>
    <r>
      <rPr>
        <sz val="9.5"/>
        <rFont val="Arial"/>
        <family val="2"/>
      </rPr>
      <t>Human Resources Generalist</t>
    </r>
  </si>
  <si>
    <r>
      <rPr>
        <sz val="9.5"/>
        <rFont val="Arial"/>
        <family val="2"/>
      </rPr>
      <t>Human Resources Specialist</t>
    </r>
  </si>
  <si>
    <r>
      <rPr>
        <sz val="9.5"/>
        <rFont val="Arial"/>
        <family val="2"/>
      </rPr>
      <t>Information Systems Analyst</t>
    </r>
  </si>
  <si>
    <r>
      <rPr>
        <sz val="9.5"/>
        <rFont val="Arial"/>
        <family val="2"/>
      </rPr>
      <t>Information Systems Specialist</t>
    </r>
  </si>
  <si>
    <r>
      <rPr>
        <sz val="9.5"/>
        <rFont val="Arial"/>
        <family val="2"/>
      </rPr>
      <t>Information Systems Technician</t>
    </r>
  </si>
  <si>
    <r>
      <rPr>
        <sz val="9.5"/>
        <rFont val="Arial"/>
        <family val="2"/>
      </rPr>
      <t>Instructional Department Coordinator</t>
    </r>
  </si>
  <si>
    <r>
      <rPr>
        <sz val="9.5"/>
        <rFont val="Arial"/>
        <family val="2"/>
      </rPr>
      <t>Instructional Designer</t>
    </r>
  </si>
  <si>
    <r>
      <rPr>
        <sz val="9.5"/>
        <rFont val="Arial"/>
        <family val="2"/>
      </rPr>
      <t>Instructional Media Technology Technician</t>
    </r>
  </si>
  <si>
    <r>
      <rPr>
        <sz val="9.5"/>
        <rFont val="Arial"/>
        <family val="2"/>
      </rPr>
      <t>Instructional Support Specialist</t>
    </r>
  </si>
  <si>
    <r>
      <rPr>
        <sz val="9.5"/>
        <rFont val="Arial"/>
        <family val="2"/>
      </rPr>
      <t>Instructional Technology Specialist</t>
    </r>
  </si>
  <si>
    <r>
      <rPr>
        <sz val="9.5"/>
        <rFont val="Arial"/>
        <family val="2"/>
      </rPr>
      <t>Job Developer</t>
    </r>
  </si>
  <si>
    <r>
      <rPr>
        <sz val="9.5"/>
        <rFont val="Arial"/>
        <family val="2"/>
      </rPr>
      <t>Journalism Support Specialist</t>
    </r>
  </si>
  <si>
    <r>
      <rPr>
        <sz val="9.5"/>
        <rFont val="Arial"/>
        <family val="2"/>
      </rPr>
      <t>Laboratory Specialist – Baking &amp; Culinary Arts</t>
    </r>
  </si>
  <si>
    <r>
      <rPr>
        <sz val="9.5"/>
        <rFont val="Arial"/>
        <family val="2"/>
      </rPr>
      <t>Laboratory Specialist – Nursing Simulation</t>
    </r>
  </si>
  <si>
    <r>
      <rPr>
        <sz val="9.5"/>
        <rFont val="Arial"/>
        <family val="2"/>
      </rPr>
      <t>Laboratory Technician – Career &amp; Technical Education</t>
    </r>
  </si>
  <si>
    <r>
      <rPr>
        <sz val="9.5"/>
        <rFont val="Arial"/>
        <family val="2"/>
      </rPr>
      <t>Laboratory Technician – Cosmetology</t>
    </r>
  </si>
  <si>
    <r>
      <rPr>
        <sz val="9.5"/>
        <rFont val="Arial"/>
        <family val="2"/>
      </rPr>
      <t>Laboratory Technician – Dental Education</t>
    </r>
  </si>
  <si>
    <r>
      <rPr>
        <sz val="9.5"/>
        <rFont val="Arial"/>
        <family val="2"/>
      </rPr>
      <t>Laboratory Technician – Emergency Medical Services</t>
    </r>
  </si>
  <si>
    <r>
      <rPr>
        <sz val="9.5"/>
        <rFont val="Arial"/>
        <family val="2"/>
      </rPr>
      <t>Laboratory Technician – Fine and Performing Arts</t>
    </r>
  </si>
  <si>
    <r>
      <rPr>
        <sz val="9.5"/>
        <rFont val="Arial"/>
        <family val="2"/>
      </rPr>
      <t>Laboratory Technician – Nursing</t>
    </r>
  </si>
  <si>
    <r>
      <rPr>
        <sz val="9.5"/>
        <rFont val="Arial"/>
        <family val="2"/>
      </rPr>
      <t>Laboratory Technician – Sciences</t>
    </r>
  </si>
  <si>
    <r>
      <rPr>
        <sz val="9.5"/>
        <rFont val="Arial"/>
        <family val="2"/>
      </rPr>
      <t>Laboratory Technician – Sciences, Senior</t>
    </r>
  </si>
  <si>
    <r>
      <rPr>
        <sz val="9.5"/>
        <rFont val="Arial"/>
        <family val="2"/>
      </rPr>
      <t>Laboratory Technician – Sciences, Senior</t>
    </r>
    <r>
      <rPr>
        <sz val="9.5"/>
        <rFont val="Arial"/>
        <family val="2"/>
      </rPr>
      <t xml:space="preserve"> (L)</t>
    </r>
  </si>
  <si>
    <r>
      <rPr>
        <sz val="9.5"/>
        <rFont val="Arial"/>
        <family val="2"/>
      </rPr>
      <t>Learning Systems Analyst</t>
    </r>
  </si>
  <si>
    <r>
      <rPr>
        <sz val="9.5"/>
        <rFont val="Arial"/>
        <family val="2"/>
      </rPr>
      <t>Library Specialist</t>
    </r>
  </si>
  <si>
    <r>
      <rPr>
        <sz val="9.5"/>
        <rFont val="Arial"/>
        <family val="2"/>
      </rPr>
      <t>Library Technician</t>
    </r>
  </si>
  <si>
    <r>
      <rPr>
        <sz val="9.5"/>
        <rFont val="Arial"/>
        <family val="2"/>
      </rPr>
      <t>Maintenance Mechanic – Electrician</t>
    </r>
  </si>
  <si>
    <r>
      <rPr>
        <sz val="9.5"/>
        <rFont val="Arial"/>
        <family val="2"/>
      </rPr>
      <t>Maintenance Mechanic – General</t>
    </r>
  </si>
  <si>
    <t>Maintenance Mechanic – General (L)</t>
  </si>
  <si>
    <r>
      <rPr>
        <sz val="9.5"/>
        <rFont val="Arial"/>
        <family val="2"/>
      </rPr>
      <t>Maintenance Mechanic - HVAC</t>
    </r>
  </si>
  <si>
    <r>
      <rPr>
        <sz val="9.5"/>
        <rFont val="Arial"/>
        <family val="2"/>
      </rPr>
      <t>Maintenance Mechanic – Painter</t>
    </r>
  </si>
  <si>
    <r>
      <rPr>
        <sz val="9.5"/>
        <rFont val="Arial"/>
        <family val="2"/>
      </rPr>
      <t>Maintenance Mechanic – Vehicles Repair</t>
    </r>
  </si>
  <si>
    <r>
      <rPr>
        <sz val="9.5"/>
        <rFont val="Arial"/>
        <family val="2"/>
      </rPr>
      <t>Marketing Specialist</t>
    </r>
  </si>
  <si>
    <r>
      <rPr>
        <sz val="9.5"/>
        <rFont val="Arial"/>
        <family val="2"/>
      </rPr>
      <t>Matriculation Coordinator</t>
    </r>
  </si>
  <si>
    <t>Matriculation Coordinator (L)</t>
  </si>
  <si>
    <r>
      <rPr>
        <sz val="9.5"/>
        <rFont val="Arial"/>
        <family val="2"/>
      </rPr>
      <t>Media Production Specialist</t>
    </r>
  </si>
  <si>
    <r>
      <rPr>
        <sz val="9.5"/>
        <rFont val="Arial"/>
        <family val="2"/>
      </rPr>
      <t>Media Systems Analyst</t>
    </r>
  </si>
  <si>
    <r>
      <rPr>
        <sz val="9.5"/>
        <rFont val="Arial"/>
        <family val="2"/>
      </rPr>
      <t>Media Systems Coordinator</t>
    </r>
  </si>
  <si>
    <r>
      <rPr>
        <sz val="9.5"/>
        <rFont val="Arial"/>
        <family val="2"/>
      </rPr>
      <t>Media Systems Repair Technician</t>
    </r>
  </si>
  <si>
    <r>
      <rPr>
        <sz val="9.5"/>
        <rFont val="Arial"/>
        <family val="2"/>
      </rPr>
      <t>Media Systems Technician</t>
    </r>
  </si>
  <si>
    <r>
      <rPr>
        <sz val="9.5"/>
        <rFont val="Arial"/>
        <family val="2"/>
      </rPr>
      <t>Medical Office Technician</t>
    </r>
  </si>
  <si>
    <r>
      <rPr>
        <sz val="9.5"/>
        <rFont val="Arial"/>
        <family val="2"/>
      </rPr>
      <t>Music Specialist</t>
    </r>
  </si>
  <si>
    <r>
      <rPr>
        <sz val="9.5"/>
        <rFont val="Arial"/>
        <family val="2"/>
      </rPr>
      <t>Music Specialist</t>
    </r>
    <r>
      <rPr>
        <sz val="9.5"/>
        <rFont val="Arial"/>
        <family val="2"/>
      </rPr>
      <t xml:space="preserve"> (L)</t>
    </r>
  </si>
  <si>
    <r>
      <rPr>
        <sz val="9.5"/>
        <rFont val="Arial"/>
        <family val="2"/>
      </rPr>
      <t>Network Analyst</t>
    </r>
  </si>
  <si>
    <r>
      <rPr>
        <sz val="9.5"/>
        <rFont val="Arial"/>
        <family val="2"/>
      </rPr>
      <t>Network Specialist</t>
    </r>
  </si>
  <si>
    <t>Network Specialist (L)</t>
  </si>
  <si>
    <r>
      <rPr>
        <sz val="9.5"/>
        <rFont val="Arial"/>
        <family val="2"/>
      </rPr>
      <t>Office Assistant</t>
    </r>
  </si>
  <si>
    <r>
      <rPr>
        <sz val="9.5"/>
        <rFont val="Arial"/>
        <family val="2"/>
      </rPr>
      <t>Office Specialist</t>
    </r>
  </si>
  <si>
    <r>
      <rPr>
        <sz val="9.5"/>
        <rFont val="Arial"/>
        <family val="2"/>
      </rPr>
      <t>Office Technician</t>
    </r>
  </si>
  <si>
    <r>
      <rPr>
        <sz val="9.5"/>
        <rFont val="Arial"/>
        <family val="2"/>
      </rPr>
      <t>Outreach Specialist</t>
    </r>
  </si>
  <si>
    <t>Outreach Specialist (L)</t>
  </si>
  <si>
    <r>
      <rPr>
        <sz val="9.5"/>
        <rFont val="Arial"/>
        <family val="2"/>
      </rPr>
      <t>Payroll Specialist</t>
    </r>
  </si>
  <si>
    <r>
      <rPr>
        <sz val="9.5"/>
        <rFont val="Arial"/>
        <family val="2"/>
      </rPr>
      <t>Payroll Specialist</t>
    </r>
    <r>
      <rPr>
        <sz val="9.5"/>
        <rFont val="Arial"/>
        <family val="2"/>
      </rPr>
      <t xml:space="preserve"> (L)</t>
    </r>
  </si>
  <si>
    <r>
      <rPr>
        <sz val="9.5"/>
        <rFont val="Arial"/>
        <family val="2"/>
      </rPr>
      <t>Photo Lab Assistant</t>
    </r>
  </si>
  <si>
    <r>
      <rPr>
        <sz val="9.5"/>
        <rFont val="Arial"/>
        <family val="2"/>
      </rPr>
      <t>Police Officer</t>
    </r>
  </si>
  <si>
    <r>
      <rPr>
        <sz val="9.5"/>
        <rFont val="Arial"/>
        <family val="2"/>
      </rPr>
      <t>Police Records Specialist</t>
    </r>
  </si>
  <si>
    <r>
      <rPr>
        <sz val="9.5"/>
        <rFont val="Arial"/>
        <family val="2"/>
      </rPr>
      <t>Printing Services Coordinator</t>
    </r>
  </si>
  <si>
    <r>
      <rPr>
        <sz val="9.5"/>
        <rFont val="Arial"/>
        <family val="2"/>
      </rPr>
      <t>Printing Services Specialist</t>
    </r>
  </si>
  <si>
    <r>
      <rPr>
        <sz val="9.5"/>
        <rFont val="Arial"/>
        <family val="2"/>
      </rPr>
      <t>Printing Services Specialist</t>
    </r>
    <r>
      <rPr>
        <sz val="9.5"/>
        <rFont val="Arial"/>
        <family val="2"/>
      </rPr>
      <t xml:space="preserve"> (L)</t>
    </r>
  </si>
  <si>
    <r>
      <rPr>
        <sz val="9.5"/>
        <rFont val="Arial"/>
        <family val="2"/>
      </rPr>
      <t>Printing Services Technician</t>
    </r>
  </si>
  <si>
    <r>
      <rPr>
        <sz val="9.5"/>
        <rFont val="Arial"/>
        <family val="2"/>
      </rPr>
      <t>Printing Services Technician</t>
    </r>
    <r>
      <rPr>
        <sz val="9.5"/>
        <rFont val="Arial"/>
        <family val="2"/>
      </rPr>
      <t xml:space="preserve"> (L)</t>
    </r>
  </si>
  <si>
    <r>
      <rPr>
        <sz val="9.5"/>
        <rFont val="Arial"/>
        <family val="2"/>
      </rPr>
      <t>Professional Development Coordinator</t>
    </r>
  </si>
  <si>
    <r>
      <rPr>
        <sz val="9.5"/>
        <rFont val="Arial"/>
        <family val="2"/>
      </rPr>
      <t>Program Specialist, Culinary</t>
    </r>
  </si>
  <si>
    <r>
      <rPr>
        <sz val="9.5"/>
        <rFont val="Arial"/>
        <family val="2"/>
      </rPr>
      <t>Program Specialist, Dental Education Center</t>
    </r>
  </si>
  <si>
    <r>
      <rPr>
        <sz val="9.5"/>
        <rFont val="Arial"/>
        <family val="2"/>
      </rPr>
      <t>Program Specialist, Early Childhood Education</t>
    </r>
  </si>
  <si>
    <r>
      <rPr>
        <sz val="9.5"/>
        <rFont val="Arial"/>
        <family val="2"/>
      </rPr>
      <t>Program Specialist, Fine &amp; Performing Arts</t>
    </r>
  </si>
  <si>
    <r>
      <rPr>
        <sz val="9.5"/>
        <rFont val="Arial"/>
        <family val="2"/>
      </rPr>
      <t>Program Specialist, International Students</t>
    </r>
  </si>
  <si>
    <r>
      <rPr>
        <sz val="9.5"/>
        <rFont val="Arial"/>
        <family val="2"/>
      </rPr>
      <t>Program Specialist, Nursing</t>
    </r>
  </si>
  <si>
    <r>
      <rPr>
        <sz val="9.5"/>
        <rFont val="Arial"/>
        <family val="2"/>
      </rPr>
      <t>Program/Project Specialist</t>
    </r>
  </si>
  <si>
    <r>
      <rPr>
        <sz val="9.5"/>
        <rFont val="Arial"/>
        <family val="2"/>
      </rPr>
      <t>Program/Project Specialist</t>
    </r>
    <r>
      <rPr>
        <sz val="9.5"/>
        <rFont val="Arial"/>
        <family val="2"/>
      </rPr>
      <t xml:space="preserve"> (L)</t>
    </r>
  </si>
  <si>
    <r>
      <rPr>
        <sz val="9.5"/>
        <rFont val="Arial"/>
        <family val="2"/>
      </rPr>
      <t>Public Affairs Officer</t>
    </r>
  </si>
  <si>
    <r>
      <rPr>
        <sz val="9.5"/>
        <rFont val="Arial"/>
        <family val="2"/>
      </rPr>
      <t>Purchasing Specialist</t>
    </r>
  </si>
  <si>
    <r>
      <rPr>
        <sz val="9.5"/>
        <rFont val="Arial"/>
        <family val="2"/>
      </rPr>
      <t>Reading Paraprofessional</t>
    </r>
  </si>
  <si>
    <r>
      <rPr>
        <sz val="9.5"/>
        <rFont val="Arial"/>
        <family val="2"/>
      </rPr>
      <t>Reading Paraprofessional</t>
    </r>
    <r>
      <rPr>
        <sz val="9.5"/>
        <rFont val="Arial"/>
        <family val="2"/>
      </rPr>
      <t xml:space="preserve"> (L)</t>
    </r>
  </si>
  <si>
    <r>
      <rPr>
        <sz val="9.5"/>
        <rFont val="Arial"/>
        <family val="2"/>
      </rPr>
      <t>Research Analyst</t>
    </r>
  </si>
  <si>
    <r>
      <rPr>
        <sz val="9.5"/>
        <rFont val="Arial"/>
        <family val="2"/>
      </rPr>
      <t>Research Systems Analyst</t>
    </r>
  </si>
  <si>
    <r>
      <rPr>
        <sz val="9.5"/>
        <rFont val="Arial"/>
        <family val="2"/>
      </rPr>
      <t>S</t>
    </r>
  </si>
  <si>
    <r>
      <rPr>
        <sz val="9.5"/>
        <rFont val="Arial"/>
        <family val="2"/>
      </rPr>
      <t>Risk Management Coordinator</t>
    </r>
  </si>
  <si>
    <r>
      <rPr>
        <sz val="9.5"/>
        <rFont val="Arial"/>
        <family val="2"/>
      </rPr>
      <t>STEM Program Coordinator</t>
    </r>
  </si>
  <si>
    <r>
      <rPr>
        <sz val="9.5"/>
        <rFont val="Arial"/>
        <family val="2"/>
      </rPr>
      <t>Student Account Specialist</t>
    </r>
  </si>
  <si>
    <r>
      <rPr>
        <sz val="9.5"/>
        <rFont val="Arial"/>
        <family val="2"/>
      </rPr>
      <t>Student Employment Coordinator</t>
    </r>
  </si>
  <si>
    <r>
      <rPr>
        <sz val="9.5"/>
        <rFont val="Arial"/>
        <family val="2"/>
      </rPr>
      <t>Student Services Specialist</t>
    </r>
  </si>
  <si>
    <r>
      <rPr>
        <sz val="9.5"/>
        <rFont val="Arial"/>
        <family val="2"/>
      </rPr>
      <t>Student Success Coordinator</t>
    </r>
  </si>
  <si>
    <r>
      <rPr>
        <sz val="9.5"/>
        <rFont val="Arial"/>
        <family val="2"/>
      </rPr>
      <t>Support Center Technician</t>
    </r>
  </si>
  <si>
    <t>Support Center Technician (L)</t>
  </si>
  <si>
    <r>
      <rPr>
        <sz val="9.5"/>
        <rFont val="Arial"/>
        <family val="2"/>
      </rPr>
      <t>Systems Administrator</t>
    </r>
  </si>
  <si>
    <r>
      <rPr>
        <sz val="9.5"/>
        <rFont val="Arial"/>
        <family val="2"/>
      </rPr>
      <t>U</t>
    </r>
  </si>
  <si>
    <r>
      <rPr>
        <sz val="9.5"/>
        <rFont val="Arial"/>
        <family val="2"/>
      </rPr>
      <t>Technical Design Coordinator</t>
    </r>
  </si>
  <si>
    <r>
      <rPr>
        <sz val="9.5"/>
        <rFont val="Arial"/>
        <family val="2"/>
      </rPr>
      <t>Telecommunications Analyst</t>
    </r>
  </si>
  <si>
    <r>
      <rPr>
        <sz val="9.5"/>
        <rFont val="Arial"/>
        <family val="2"/>
      </rPr>
      <t>Television Production Studio Specialist</t>
    </r>
  </si>
  <si>
    <r>
      <rPr>
        <sz val="9.5"/>
        <rFont val="Arial"/>
        <family val="2"/>
      </rPr>
      <t>Theater Auditorium Specialist</t>
    </r>
  </si>
  <si>
    <r>
      <rPr>
        <sz val="9.5"/>
        <rFont val="Arial"/>
        <family val="2"/>
      </rPr>
      <t>Theater Box Office Coordinator</t>
    </r>
  </si>
  <si>
    <r>
      <rPr>
        <sz val="9.5"/>
        <rFont val="Arial"/>
        <family val="2"/>
      </rPr>
      <t>Theater Box Office Coordinator</t>
    </r>
    <r>
      <rPr>
        <sz val="9.5"/>
        <rFont val="Arial"/>
        <family val="2"/>
      </rPr>
      <t xml:space="preserve"> (L)</t>
    </r>
  </si>
  <si>
    <r>
      <rPr>
        <sz val="9.5"/>
        <rFont val="Arial"/>
        <family val="2"/>
      </rPr>
      <t>Theater Production Coordinator</t>
    </r>
  </si>
  <si>
    <r>
      <rPr>
        <sz val="9.5"/>
        <rFont val="Arial"/>
        <family val="2"/>
      </rPr>
      <t>Theater Technical Coordinator</t>
    </r>
  </si>
  <si>
    <r>
      <rPr>
        <sz val="9.5"/>
        <rFont val="Arial"/>
        <family val="2"/>
      </rPr>
      <t>Tool Room Specialist</t>
    </r>
  </si>
  <si>
    <r>
      <rPr>
        <sz val="9.5"/>
        <rFont val="Arial"/>
        <family val="2"/>
      </rPr>
      <t>Veterans Services Coordinator</t>
    </r>
  </si>
  <si>
    <r>
      <rPr>
        <sz val="9.5"/>
        <rFont val="Arial"/>
        <family val="2"/>
      </rPr>
      <t>Veterans Services Specialist</t>
    </r>
  </si>
  <si>
    <r>
      <rPr>
        <sz val="9.5"/>
        <rFont val="Arial"/>
        <family val="2"/>
      </rPr>
      <t>Veterans Services Specialist</t>
    </r>
    <r>
      <rPr>
        <sz val="9.5"/>
        <rFont val="Arial"/>
        <family val="2"/>
      </rPr>
      <t xml:space="preserve"> (L)</t>
    </r>
  </si>
  <si>
    <r>
      <rPr>
        <sz val="9.5"/>
        <rFont val="Arial"/>
        <family val="2"/>
      </rPr>
      <t>Warehouse Operations Worker</t>
    </r>
  </si>
  <si>
    <r>
      <rPr>
        <sz val="9.5"/>
        <rFont val="Arial"/>
        <family val="2"/>
      </rPr>
      <t>Web Applications Technician</t>
    </r>
  </si>
  <si>
    <t>Input current H-6 salary from FT faculty salary schedule</t>
  </si>
  <si>
    <t>Group 3, Step 3 from the Faculty Hourly Salary Schedule</t>
  </si>
  <si>
    <t>family rate</t>
  </si>
  <si>
    <r>
      <rPr>
        <sz val="10"/>
        <rFont val="Arial"/>
        <family val="2"/>
      </rPr>
      <t>Academy Coordinator</t>
    </r>
  </si>
  <si>
    <t>/</t>
  </si>
  <si>
    <t>hour</t>
  </si>
  <si>
    <t>Updated 8/21/25</t>
  </si>
  <si>
    <r>
      <rPr>
        <sz val="10"/>
        <rFont val="Arial"/>
        <family val="2"/>
      </rPr>
      <t>Academy Scenario Assistant</t>
    </r>
  </si>
  <si>
    <r>
      <rPr>
        <sz val="10"/>
        <rFont val="Arial"/>
        <family val="2"/>
      </rPr>
      <t>Activities Assistant</t>
    </r>
  </si>
  <si>
    <r>
      <rPr>
        <sz val="10"/>
        <rFont val="Arial"/>
        <family val="2"/>
      </rPr>
      <t>Assistant Pool Manager</t>
    </r>
  </si>
  <si>
    <r>
      <rPr>
        <sz val="10"/>
        <rFont val="Arial"/>
        <family val="2"/>
      </rPr>
      <t>Assistant Project Coordinator (Dental Hygiene)</t>
    </r>
  </si>
  <si>
    <r>
      <rPr>
        <sz val="10"/>
        <rFont val="Arial"/>
        <family val="2"/>
      </rPr>
      <t>Athletics Team Driver</t>
    </r>
  </si>
  <si>
    <r>
      <rPr>
        <sz val="10"/>
        <rFont val="Arial"/>
        <family val="2"/>
      </rPr>
      <t>Box Office Specialist</t>
    </r>
  </si>
  <si>
    <r>
      <rPr>
        <sz val="10"/>
        <rFont val="Arial"/>
        <family val="2"/>
      </rPr>
      <t>Budget/Accounting Specialist</t>
    </r>
  </si>
  <si>
    <r>
      <rPr>
        <sz val="10"/>
        <rFont val="Arial"/>
        <family val="2"/>
      </rPr>
      <t>Business Technical Assistant</t>
    </r>
  </si>
  <si>
    <r>
      <rPr>
        <sz val="10"/>
        <rFont val="Arial"/>
        <family val="2"/>
      </rPr>
      <t>Classroom Assistant</t>
    </r>
  </si>
  <si>
    <r>
      <rPr>
        <sz val="10"/>
        <rFont val="Arial"/>
        <family val="2"/>
      </rPr>
      <t>Clerk Trainee</t>
    </r>
  </si>
  <si>
    <r>
      <rPr>
        <sz val="10"/>
        <rFont val="Arial"/>
        <family val="2"/>
      </rPr>
      <t>Coaches, Summer Activities</t>
    </r>
  </si>
  <si>
    <r>
      <rPr>
        <sz val="10"/>
        <rFont val="Arial"/>
        <family val="2"/>
      </rPr>
      <t>Communication Assistant</t>
    </r>
  </si>
  <si>
    <r>
      <rPr>
        <sz val="10"/>
        <rFont val="Arial"/>
        <family val="2"/>
      </rPr>
      <t>Community Liaison</t>
    </r>
  </si>
  <si>
    <r>
      <rPr>
        <sz val="10"/>
        <rFont val="Arial"/>
        <family val="2"/>
      </rPr>
      <t>Conference Coordinator</t>
    </r>
  </si>
  <si>
    <r>
      <rPr>
        <sz val="10"/>
        <rFont val="Arial"/>
        <family val="2"/>
      </rPr>
      <t>Copy Editor</t>
    </r>
  </si>
  <si>
    <r>
      <rPr>
        <sz val="10"/>
        <rFont val="Arial"/>
        <family val="2"/>
      </rPr>
      <t>Custodial Assistant</t>
    </r>
  </si>
  <si>
    <r>
      <rPr>
        <sz val="10"/>
        <rFont val="Arial"/>
        <family val="2"/>
      </rPr>
      <t>Dental Assistant</t>
    </r>
  </si>
  <si>
    <r>
      <rPr>
        <sz val="10"/>
        <rFont val="Arial"/>
        <family val="2"/>
      </rPr>
      <t>Dental Health Educator</t>
    </r>
  </si>
  <si>
    <r>
      <rPr>
        <sz val="10"/>
        <rFont val="Arial"/>
        <family val="2"/>
      </rPr>
      <t>Detective/Investigator</t>
    </r>
  </si>
  <si>
    <r>
      <rPr>
        <sz val="10"/>
        <rFont val="Arial"/>
        <family val="2"/>
      </rPr>
      <t>Diversity, Equity and Compliance Intern</t>
    </r>
  </si>
  <si>
    <r>
      <rPr>
        <sz val="10"/>
        <rFont val="Arial"/>
        <family val="2"/>
      </rPr>
      <t>Educational Assistant</t>
    </r>
  </si>
  <si>
    <r>
      <rPr>
        <sz val="10"/>
        <rFont val="Arial"/>
        <family val="2"/>
      </rPr>
      <t>E-Text Transcriber</t>
    </r>
  </si>
  <si>
    <r>
      <rPr>
        <sz val="10"/>
        <rFont val="Arial"/>
        <family val="2"/>
      </rPr>
      <t>Evaluator, Administration of Justice</t>
    </r>
  </si>
  <si>
    <r>
      <rPr>
        <sz val="10"/>
        <rFont val="Arial"/>
        <family val="2"/>
      </rPr>
      <t>Executive Assistant</t>
    </r>
  </si>
  <si>
    <r>
      <rPr>
        <sz val="10"/>
        <rFont val="Arial"/>
        <family val="2"/>
      </rPr>
      <t>Facilities ADA Accessibility Coordinator</t>
    </r>
  </si>
  <si>
    <r>
      <rPr>
        <sz val="10"/>
        <rFont val="Arial"/>
        <family val="2"/>
      </rPr>
      <t>Facilities Assistant</t>
    </r>
  </si>
  <si>
    <r>
      <rPr>
        <sz val="10"/>
        <rFont val="Arial"/>
        <family val="2"/>
      </rPr>
      <t>Facilities Planning and Development Assistant</t>
    </r>
  </si>
  <si>
    <r>
      <rPr>
        <sz val="10"/>
        <rFont val="Arial"/>
        <family val="2"/>
      </rPr>
      <t>Finance Specialist</t>
    </r>
  </si>
  <si>
    <r>
      <rPr>
        <sz val="10"/>
        <rFont val="Arial"/>
        <family val="2"/>
      </rPr>
      <t>Food Service Assistant</t>
    </r>
  </si>
  <si>
    <r>
      <rPr>
        <sz val="10"/>
        <rFont val="Arial"/>
        <family val="2"/>
      </rPr>
      <t>Forensics Assistant</t>
    </r>
  </si>
  <si>
    <r>
      <rPr>
        <sz val="10"/>
        <rFont val="Arial"/>
        <family val="2"/>
      </rPr>
      <t>Grant Analyst</t>
    </r>
  </si>
  <si>
    <r>
      <rPr>
        <sz val="10"/>
        <rFont val="Arial"/>
        <family val="2"/>
      </rPr>
      <t>Grant Facilitator</t>
    </r>
  </si>
  <si>
    <r>
      <rPr>
        <sz val="10"/>
        <rFont val="Arial"/>
        <family val="2"/>
      </rPr>
      <t>Grant Project Educational Aide II</t>
    </r>
  </si>
  <si>
    <r>
      <rPr>
        <sz val="10"/>
        <rFont val="Arial"/>
        <family val="2"/>
      </rPr>
      <t>Grant Project Educational Trainer I</t>
    </r>
  </si>
  <si>
    <r>
      <rPr>
        <sz val="10"/>
        <rFont val="Arial"/>
        <family val="2"/>
      </rPr>
      <t>Grant Project Educational Trainer II</t>
    </r>
  </si>
  <si>
    <r>
      <rPr>
        <sz val="10"/>
        <rFont val="Arial"/>
        <family val="2"/>
      </rPr>
      <t>Grant Project Technician</t>
    </r>
  </si>
  <si>
    <r>
      <rPr>
        <sz val="10"/>
        <rFont val="Arial"/>
        <family val="2"/>
      </rPr>
      <t>Grounds Assistant</t>
    </r>
  </si>
  <si>
    <r>
      <rPr>
        <sz val="10"/>
        <rFont val="Arial"/>
        <family val="2"/>
      </rPr>
      <t>Health Services Facilitator</t>
    </r>
  </si>
  <si>
    <r>
      <rPr>
        <sz val="10"/>
        <rFont val="Arial"/>
        <family val="2"/>
      </rPr>
      <t>High School Program Coordinator</t>
    </r>
  </si>
  <si>
    <t>class</t>
  </si>
  <si>
    <r>
      <rPr>
        <sz val="10"/>
        <rFont val="Arial"/>
        <family val="2"/>
      </rPr>
      <t>IMC Assistant I</t>
    </r>
  </si>
  <si>
    <r>
      <rPr>
        <sz val="10"/>
        <rFont val="Arial"/>
        <family val="2"/>
      </rPr>
      <t>IMC Assistant II</t>
    </r>
  </si>
  <si>
    <r>
      <rPr>
        <sz val="10"/>
        <rFont val="Arial"/>
        <family val="2"/>
      </rPr>
      <t>IMC Trainee</t>
    </r>
  </si>
  <si>
    <r>
      <rPr>
        <sz val="10"/>
        <rFont val="Arial"/>
        <family val="2"/>
      </rPr>
      <t>Instructional Aide I</t>
    </r>
  </si>
  <si>
    <r>
      <rPr>
        <sz val="10"/>
        <rFont val="Arial"/>
        <family val="2"/>
      </rPr>
      <t>Instructional Aide II</t>
    </r>
  </si>
  <si>
    <r>
      <rPr>
        <sz val="10"/>
        <rFont val="Arial"/>
        <family val="2"/>
      </rPr>
      <t>Instructional Aide III</t>
    </r>
  </si>
  <si>
    <r>
      <rPr>
        <sz val="10"/>
        <rFont val="Arial"/>
        <family val="2"/>
      </rPr>
      <t>International Trade Assistant</t>
    </r>
  </si>
  <si>
    <r>
      <rPr>
        <sz val="10"/>
        <rFont val="Arial"/>
        <family val="2"/>
      </rPr>
      <t>Interpreter Apprentice</t>
    </r>
  </si>
  <si>
    <r>
      <rPr>
        <sz val="10"/>
        <rFont val="Arial"/>
        <family val="2"/>
      </rPr>
      <t>Interpreter I</t>
    </r>
  </si>
  <si>
    <r>
      <rPr>
        <sz val="10"/>
        <rFont val="Arial"/>
        <family val="2"/>
      </rPr>
      <t>Interpreter II</t>
    </r>
  </si>
  <si>
    <r>
      <rPr>
        <sz val="10"/>
        <rFont val="Arial"/>
        <family val="2"/>
      </rPr>
      <t>Interpreter III</t>
    </r>
  </si>
  <si>
    <r>
      <rPr>
        <sz val="10"/>
        <rFont val="Arial"/>
        <family val="2"/>
      </rPr>
      <t>Interpreter IV (Certified Interpreter)</t>
    </r>
  </si>
  <si>
    <r>
      <rPr>
        <sz val="10"/>
        <rFont val="Arial"/>
        <family val="2"/>
      </rPr>
      <t>Laboratory Aide I</t>
    </r>
  </si>
  <si>
    <r>
      <rPr>
        <sz val="10"/>
        <rFont val="Arial"/>
        <family val="2"/>
      </rPr>
      <t>Laboratory Aide II</t>
    </r>
  </si>
  <si>
    <r>
      <rPr>
        <sz val="10"/>
        <rFont val="Arial"/>
        <family val="2"/>
      </rPr>
      <t>Lifeguard (Advanced)</t>
    </r>
  </si>
  <si>
    <r>
      <rPr>
        <sz val="10"/>
        <rFont val="Arial"/>
        <family val="2"/>
      </rPr>
      <t>Lifeguard (Instructor)</t>
    </r>
  </si>
  <si>
    <r>
      <rPr>
        <sz val="10"/>
        <rFont val="Arial"/>
        <family val="2"/>
      </rPr>
      <t>Lifeguard (Senior)</t>
    </r>
  </si>
  <si>
    <r>
      <rPr>
        <sz val="10"/>
        <rFont val="Arial"/>
        <family val="2"/>
      </rPr>
      <t>Maintenance Assistant</t>
    </r>
  </si>
  <si>
    <r>
      <rPr>
        <sz val="10"/>
        <rFont val="Arial"/>
        <family val="2"/>
      </rPr>
      <t>Marketing &amp; Media Coordinator</t>
    </r>
  </si>
  <si>
    <r>
      <rPr>
        <sz val="10"/>
        <rFont val="Arial"/>
        <family val="2"/>
      </rPr>
      <t>Matriculation &amp; Educational Support Associate</t>
    </r>
  </si>
  <si>
    <r>
      <rPr>
        <sz val="10"/>
        <rFont val="Arial"/>
        <family val="2"/>
      </rPr>
      <t>Matriculation Assistant I</t>
    </r>
  </si>
  <si>
    <r>
      <rPr>
        <sz val="10"/>
        <rFont val="Arial"/>
        <family val="2"/>
      </rPr>
      <t>Matriculation Assistant II</t>
    </r>
  </si>
  <si>
    <r>
      <rPr>
        <sz val="10"/>
        <rFont val="Arial"/>
        <family val="2"/>
      </rPr>
      <t>Matriculation Assistant III</t>
    </r>
  </si>
  <si>
    <r>
      <rPr>
        <sz val="10"/>
        <rFont val="Arial"/>
        <family val="2"/>
      </rPr>
      <t>Nurse Practitioner</t>
    </r>
  </si>
  <si>
    <r>
      <rPr>
        <sz val="10"/>
        <rFont val="Arial"/>
        <family val="2"/>
      </rPr>
      <t>Office Assistant I</t>
    </r>
  </si>
  <si>
    <r>
      <rPr>
        <sz val="10"/>
        <rFont val="Arial"/>
        <family val="2"/>
      </rPr>
      <t>Office Assistant II</t>
    </r>
  </si>
  <si>
    <r>
      <rPr>
        <sz val="10"/>
        <rFont val="Arial"/>
        <family val="2"/>
      </rPr>
      <t>Office Assistant III</t>
    </r>
  </si>
  <si>
    <r>
      <rPr>
        <sz val="10"/>
        <rFont val="Arial"/>
        <family val="2"/>
      </rPr>
      <t>Office Assistant IV</t>
    </r>
  </si>
  <si>
    <r>
      <rPr>
        <sz val="10"/>
        <rFont val="Arial"/>
        <family val="2"/>
      </rPr>
      <t>Photographer I (Intern)</t>
    </r>
  </si>
  <si>
    <r>
      <rPr>
        <sz val="10"/>
        <rFont val="Arial"/>
        <family val="2"/>
      </rPr>
      <t>Photographer II</t>
    </r>
  </si>
  <si>
    <r>
      <rPr>
        <sz val="10"/>
        <rFont val="Arial"/>
        <family val="2"/>
      </rPr>
      <t>Photographer III</t>
    </r>
  </si>
  <si>
    <r>
      <rPr>
        <sz val="10"/>
        <rFont val="Arial"/>
        <family val="2"/>
      </rPr>
      <t>Production Printer II</t>
    </r>
  </si>
  <si>
    <r>
      <rPr>
        <sz val="10"/>
        <rFont val="Arial"/>
        <family val="2"/>
      </rPr>
      <t>Production Technician Assistant I</t>
    </r>
  </si>
  <si>
    <r>
      <rPr>
        <sz val="10"/>
        <rFont val="Arial"/>
        <family val="2"/>
      </rPr>
      <t>Proofreader</t>
    </r>
  </si>
  <si>
    <r>
      <rPr>
        <sz val="10"/>
        <rFont val="Arial"/>
        <family val="2"/>
      </rPr>
      <t>Public Safety Coordinator (Title V)</t>
    </r>
  </si>
  <si>
    <r>
      <rPr>
        <sz val="10"/>
        <rFont val="Arial"/>
        <family val="2"/>
      </rPr>
      <t>Publicist Trainee</t>
    </r>
  </si>
  <si>
    <r>
      <rPr>
        <sz val="10"/>
        <rFont val="Arial"/>
        <family val="2"/>
      </rPr>
      <t>Puente Assistant</t>
    </r>
  </si>
  <si>
    <r>
      <rPr>
        <sz val="10"/>
        <rFont val="Arial"/>
        <family val="2"/>
      </rPr>
      <t>Registered Nurse I</t>
    </r>
  </si>
  <si>
    <r>
      <rPr>
        <sz val="10"/>
        <rFont val="Arial"/>
        <family val="2"/>
      </rPr>
      <t>Registered Nurse II</t>
    </r>
  </si>
  <si>
    <r>
      <rPr>
        <sz val="10"/>
        <rFont val="Arial"/>
        <family val="2"/>
      </rPr>
      <t>Registered Nurse III</t>
    </r>
  </si>
  <si>
    <r>
      <rPr>
        <sz val="10"/>
        <rFont val="Arial"/>
        <family val="2"/>
      </rPr>
      <t>Research Assistant</t>
    </r>
  </si>
  <si>
    <r>
      <rPr>
        <sz val="10"/>
        <rFont val="Arial"/>
        <family val="2"/>
      </rPr>
      <t>Research Intern</t>
    </r>
  </si>
  <si>
    <r>
      <rPr>
        <sz val="10"/>
        <rFont val="Arial"/>
        <family val="2"/>
      </rPr>
      <t>Reserve College Police Officer</t>
    </r>
  </si>
  <si>
    <r>
      <rPr>
        <sz val="10"/>
        <rFont val="Arial"/>
        <family val="2"/>
      </rPr>
      <t>Role Player</t>
    </r>
  </si>
  <si>
    <r>
      <rPr>
        <sz val="10"/>
        <rFont val="Arial"/>
        <family val="2"/>
      </rPr>
      <t>Scanner</t>
    </r>
  </si>
  <si>
    <r>
      <rPr>
        <sz val="10"/>
        <rFont val="Arial"/>
        <family val="2"/>
      </rPr>
      <t>Soccer Certified Athletic Trainer</t>
    </r>
  </si>
  <si>
    <r>
      <rPr>
        <sz val="10"/>
        <rFont val="Arial"/>
        <family val="2"/>
      </rPr>
      <t>Sports Publicist</t>
    </r>
  </si>
  <si>
    <r>
      <rPr>
        <sz val="10"/>
        <rFont val="Arial"/>
        <family val="2"/>
      </rPr>
      <t>Stage Hand</t>
    </r>
  </si>
  <si>
    <r>
      <rPr>
        <sz val="10"/>
        <rFont val="Arial"/>
        <family val="2"/>
      </rPr>
      <t>Stage Master Carpenter</t>
    </r>
  </si>
  <si>
    <r>
      <rPr>
        <sz val="10"/>
        <rFont val="Arial"/>
        <family val="2"/>
      </rPr>
      <t>Stage Master Electrician</t>
    </r>
  </si>
  <si>
    <r>
      <rPr>
        <sz val="10"/>
        <rFont val="Arial"/>
        <family val="2"/>
      </rPr>
      <t>Stage Technician I</t>
    </r>
  </si>
  <si>
    <r>
      <rPr>
        <sz val="10"/>
        <rFont val="Arial"/>
        <family val="2"/>
      </rPr>
      <t>Stage Technician II</t>
    </r>
  </si>
  <si>
    <r>
      <rPr>
        <sz val="10"/>
        <rFont val="Arial"/>
        <family val="2"/>
      </rPr>
      <t>Stage Technician III</t>
    </r>
  </si>
  <si>
    <r>
      <rPr>
        <sz val="10"/>
        <rFont val="Arial"/>
        <family val="2"/>
      </rPr>
      <t>Stage Technician IV</t>
    </r>
  </si>
  <si>
    <r>
      <rPr>
        <sz val="10"/>
        <rFont val="Arial"/>
        <family val="2"/>
      </rPr>
      <t>Stage Technician V</t>
    </r>
  </si>
  <si>
    <r>
      <rPr>
        <sz val="10"/>
        <rFont val="Arial"/>
        <family val="2"/>
      </rPr>
      <t>Stage Technician VI</t>
    </r>
  </si>
  <si>
    <r>
      <rPr>
        <sz val="10"/>
        <rFont val="Arial"/>
        <family val="2"/>
      </rPr>
      <t>STEM Activities Coordinator</t>
    </r>
  </si>
  <si>
    <r>
      <rPr>
        <sz val="10"/>
        <rFont val="Arial"/>
        <family val="2"/>
      </rPr>
      <t>STEM Mentor</t>
    </r>
  </si>
  <si>
    <r>
      <rPr>
        <sz val="10"/>
        <rFont val="Arial"/>
        <family val="2"/>
      </rPr>
      <t>Student Activities Advisor</t>
    </r>
  </si>
  <si>
    <r>
      <rPr>
        <sz val="10"/>
        <rFont val="Arial"/>
        <family val="2"/>
      </rPr>
      <t>Student Activities Assistant</t>
    </r>
  </si>
  <si>
    <r>
      <rPr>
        <sz val="10"/>
        <rFont val="Arial"/>
        <family val="2"/>
      </rPr>
      <t>Student Health Specialist</t>
    </r>
  </si>
  <si>
    <r>
      <rPr>
        <sz val="10"/>
        <rFont val="Arial"/>
        <family val="2"/>
      </rPr>
      <t>Student Support Services University Mentor</t>
    </r>
  </si>
  <si>
    <r>
      <rPr>
        <sz val="10"/>
        <rFont val="Arial"/>
        <family val="2"/>
      </rPr>
      <t>Study Group Leader</t>
    </r>
  </si>
  <si>
    <r>
      <rPr>
        <sz val="10"/>
        <rFont val="Arial"/>
        <family val="2"/>
      </rPr>
      <t>Summer Bridge Coordinator</t>
    </r>
  </si>
  <si>
    <r>
      <rPr>
        <sz val="10"/>
        <rFont val="Arial"/>
        <family val="2"/>
      </rPr>
      <t>Summer Youth Worker</t>
    </r>
  </si>
  <si>
    <r>
      <rPr>
        <sz val="10"/>
        <rFont val="Arial"/>
        <family val="2"/>
      </rPr>
      <t>Supplemental Instructional Leader</t>
    </r>
  </si>
  <si>
    <r>
      <rPr>
        <sz val="10"/>
        <rFont val="Arial"/>
        <family val="2"/>
      </rPr>
      <t>Survey Analyst</t>
    </r>
  </si>
  <si>
    <r>
      <rPr>
        <sz val="10"/>
        <rFont val="Arial"/>
        <family val="2"/>
      </rPr>
      <t>Technical Business Advisor</t>
    </r>
  </si>
  <si>
    <r>
      <rPr>
        <sz val="10"/>
        <rFont val="Arial"/>
        <family val="2"/>
      </rPr>
      <t>Theater Sound Technician</t>
    </r>
  </si>
  <si>
    <r>
      <rPr>
        <sz val="10"/>
        <rFont val="Arial"/>
        <family val="2"/>
      </rPr>
      <t>Tri-Tech Business Associate</t>
    </r>
  </si>
  <si>
    <r>
      <rPr>
        <sz val="10"/>
        <rFont val="Arial"/>
        <family val="2"/>
      </rPr>
      <t>Tutor I</t>
    </r>
  </si>
  <si>
    <r>
      <rPr>
        <sz val="10"/>
        <rFont val="Arial"/>
        <family val="2"/>
      </rPr>
      <t>Tutor II</t>
    </r>
  </si>
  <si>
    <r>
      <rPr>
        <sz val="10"/>
        <rFont val="Arial"/>
        <family val="2"/>
      </rPr>
      <t>Tutor III</t>
    </r>
  </si>
  <si>
    <r>
      <rPr>
        <sz val="10"/>
        <rFont val="Arial"/>
        <family val="2"/>
      </rPr>
      <t>Tutor IV</t>
    </r>
  </si>
  <si>
    <r>
      <rPr>
        <sz val="10"/>
        <rFont val="Arial"/>
        <family val="2"/>
      </rPr>
      <t>Upward Bound College Mentor</t>
    </r>
  </si>
  <si>
    <r>
      <rPr>
        <sz val="10"/>
        <rFont val="Arial"/>
        <family val="2"/>
      </rPr>
      <t>Video Technician, Football Games</t>
    </r>
  </si>
  <si>
    <t>game</t>
  </si>
  <si>
    <r>
      <rPr>
        <sz val="10"/>
        <rFont val="Arial"/>
        <family val="2"/>
      </rPr>
      <t>Web Accessibility Technician</t>
    </r>
  </si>
  <si>
    <t>*Minimum wage $16.90/hour Effective January 2026</t>
  </si>
  <si>
    <r>
      <t xml:space="preserve">RCCD STUDENT EMPLOYMENT POSITION TITLES  </t>
    </r>
    <r>
      <rPr>
        <b/>
        <sz val="14"/>
        <rFont val="Calibri"/>
        <family val="2"/>
      </rPr>
      <t>(Effective July 1, 2024- June 30, 2025)</t>
    </r>
  </si>
  <si>
    <t>(Effective July 1, 2025)</t>
  </si>
  <si>
    <t>*Rates updated per Megan McDonald.</t>
  </si>
  <si>
    <r>
      <rPr>
        <b/>
        <sz val="10"/>
        <rFont val="Calibri"/>
        <family val="2"/>
      </rPr>
      <t>LEVELS</t>
    </r>
  </si>
  <si>
    <r>
      <rPr>
        <b/>
        <sz val="10"/>
        <rFont val="Calibri"/>
        <family val="2"/>
      </rPr>
      <t>DESCRIPTION</t>
    </r>
  </si>
  <si>
    <r>
      <rPr>
        <b/>
        <sz val="10"/>
        <rFont val="Calibri"/>
        <family val="2"/>
      </rPr>
      <t>EXAMPLES OF ASSIGNMENTS</t>
    </r>
  </si>
  <si>
    <r>
      <rPr>
        <b/>
        <sz val="10"/>
        <rFont val="Calibri"/>
        <family val="2"/>
      </rPr>
      <t>RATES OF PAY</t>
    </r>
  </si>
  <si>
    <t>Rate for Costing Purposes</t>
  </si>
  <si>
    <t>Student Aide I</t>
  </si>
  <si>
    <t>Performs a variety of unskilled clerical &amp;/or manual  duties  for  a  specific  work  area. Work      is      performed      under      close supervision. Work is assigned and student receives       detailed       instruction.       No experience at all is required. Job details are learned from supervisor or classified staff members</t>
  </si>
  <si>
    <t>Food Services worker, area attendant, laborer, ticket taker, usher, locker room attendant, general clerk, Copy Room Attendant, mail distributor, Art gallery attendant, file clerk, Lab Aide, Instructional Aide, DSPS Aide, Student Clerk, IMC Aide, Journalism Aide, Circulation Aide, Library Aide, Student Ambassador, Health program Aide, Recital Assistant, Athletic Field Aide, Sports Program Aide, College Police Aides, lifeguard I</t>
  </si>
  <si>
    <t>$16.50 to $16.75
per hour</t>
  </si>
  <si>
    <t>Student Aide II</t>
  </si>
  <si>
    <t>Performs a variety of clerical &amp;/or manual related duties that are usually semi-skilled in nature and may require only limited skill, training or experience. Learns role on the job. Requires basic knowledge of administrative activities and procedures within work area. Exchanges information with co-workers, staff within the District and the community. May require completion of certain courses to qualify.</t>
  </si>
  <si>
    <t>Classroom Aide, Public Safety Program Aide, Tutor, Museum Aide, Stage Hands, Middle School Liaisons, Outreach Aides, Student Role Players for special programs, Clerical Assistants, College Police Assistants, Lifeguard II</t>
  </si>
  <si>
    <t>$17.00 to $17.75 per hour</t>
  </si>
  <si>
    <r>
      <rPr>
        <sz val="10"/>
        <rFont val="Calibri"/>
        <family val="2"/>
      </rPr>
      <t>Student Aide III</t>
    </r>
  </si>
  <si>
    <t>Performs a variety of skilled duties in support of administrative and academic projects. Performs clerical and manual duties that require some specialized skill level. Typically requires some experience related to the assignment or special education in the area of assignment. Requires knowledge of the District/College programs and services</t>
  </si>
  <si>
    <t>Study Group Leader, Educational Assistant, Sports Program Coordinator, Specialized Tutors, group tutors, Computer Aides, light and sound technicians, Computer Network Assistants, Sports officials, Child program Aides, Automotive Assistants</t>
  </si>
  <si>
    <t>$18.00 to $18.75 per hour</t>
  </si>
  <si>
    <t>Student Aide IV</t>
  </si>
  <si>
    <t>Performs a variety of duties requiring advanced knowledge of subject in support of administrative or academic projects or functions. Requires knowledge of how program/work unit function and fit into the District or College programs. Gathers, integrates and interprets information.</t>
  </si>
  <si>
    <t>Media Center delivery assistants, Special Student Program Assistant (Puente, Ujima), Lab Specialist, Stem Mentors, advanced tutors</t>
  </si>
  <si>
    <t>$19.00 to $19.75 per hour</t>
  </si>
  <si>
    <t>Performs a variety of complex duties in support of administrative and academic projects/functions. Requires more extensive experience and subject matter expertise to be successful. May do advanced and complex research for department assigned to. Developing and working with contacts outside of the work unit is common.</t>
  </si>
  <si>
    <t>Media Center Student Production Assistants, Media Center Student Technicians, Business Associates, Computer Specialist, Project Specialist,</t>
  </si>
  <si>
    <t>$20.00 to $20.75 per hour</t>
  </si>
  <si>
    <t>**Minimum wage $16.90 on 01/01/26</t>
  </si>
  <si>
    <t>Hourly Rate @ 3/3</t>
  </si>
  <si>
    <t>Input current Group 3, Step 3 rate from faculty hourly salary schedule</t>
  </si>
  <si>
    <t>Hours for 3 Hour Class</t>
  </si>
  <si>
    <t>Hourly Rate @ 1/1 (Unit Pay)</t>
  </si>
  <si>
    <t>Input current Group 1, Step 1 rate from faculty hourly salary schedule</t>
  </si>
  <si>
    <t>Hour for SLO Assessment</t>
  </si>
  <si>
    <t>Salary Per 3 Unit Class (.2 FTE)</t>
  </si>
  <si>
    <t>PT salary for 2.0 FTEs</t>
  </si>
  <si>
    <t>H&amp;W</t>
  </si>
  <si>
    <t>TCP including F/C</t>
  </si>
  <si>
    <t>Salary for 1.0 FTE</t>
  </si>
  <si>
    <t>*Associate faculty costs are estimated based on a 3 unit class consisting of 54 hours of lecture.</t>
  </si>
  <si>
    <t>updated</t>
  </si>
  <si>
    <t>JJD</t>
  </si>
  <si>
    <t>Need to unprotect this sheet before updating the rates</t>
  </si>
  <si>
    <t>FY 25/26 Rates</t>
  </si>
  <si>
    <t>Assume all are on GL&amp;P</t>
  </si>
  <si>
    <t>on PARS</t>
  </si>
  <si>
    <t>A1</t>
  </si>
  <si>
    <t>PERS</t>
  </si>
  <si>
    <t>Student Employee</t>
  </si>
  <si>
    <t>N3</t>
  </si>
  <si>
    <t>FICA</t>
  </si>
  <si>
    <t>on PERS</t>
  </si>
  <si>
    <t>P1</t>
  </si>
  <si>
    <t>MEDI</t>
  </si>
  <si>
    <t>on STRS</t>
  </si>
  <si>
    <t>S1</t>
  </si>
  <si>
    <t>PT Perm Employee</t>
  </si>
  <si>
    <t>W/C</t>
  </si>
  <si>
    <t>H&amp;W Standard</t>
  </si>
  <si>
    <t>Delta Dental</t>
  </si>
  <si>
    <t>Jefferson</t>
  </si>
  <si>
    <t>HealthNet</t>
  </si>
  <si>
    <t>New Faculty/Counselor Allocation - assuming they want a MAC</t>
  </si>
  <si>
    <t>Standards - update here</t>
  </si>
  <si>
    <t>Faculty Chair</t>
  </si>
  <si>
    <t>Student Chair</t>
  </si>
  <si>
    <t xml:space="preserve">&lt;- This needs to be sent to Sheri. </t>
  </si>
  <si>
    <t>File Cabinet</t>
  </si>
  <si>
    <t xml:space="preserve">Sheri updated these figures 12/3/2025. JJD. </t>
  </si>
  <si>
    <t>Vertical File Cabinet</t>
  </si>
  <si>
    <t>Bookcase</t>
  </si>
  <si>
    <t>Desk</t>
  </si>
  <si>
    <t>tax rate</t>
  </si>
  <si>
    <t>Estimated installation cost</t>
  </si>
  <si>
    <t>Phone</t>
  </si>
  <si>
    <t>Computer - will be entered by users in the technology tab</t>
  </si>
  <si>
    <t>TAB</t>
  </si>
  <si>
    <t>ACTION</t>
  </si>
  <si>
    <t>Unhide all hidden data tabs</t>
  </si>
  <si>
    <t>These are hidden so they don't clutter up the spreadsheet but will have to unhidden in order to update them.</t>
  </si>
  <si>
    <t>Rate Sheet</t>
  </si>
  <si>
    <t>Update the highlighted cells with the current fiscal year's finalized rates</t>
  </si>
  <si>
    <t>Summary</t>
  </si>
  <si>
    <t>Update the "Planning Year"</t>
  </si>
  <si>
    <t>Administrator Job Titles</t>
  </si>
  <si>
    <t>Upload the current Management and Supervisory Position by Position Title salary schedule</t>
  </si>
  <si>
    <t>Check the link to this data</t>
  </si>
  <si>
    <t>Classified Job Title</t>
  </si>
  <si>
    <t>Upload the current Classified Salary Schedule by Position Title</t>
  </si>
  <si>
    <t>Short Term NonClassified Titles</t>
  </si>
  <si>
    <t>Update this list by briging all the hourly wages below minimum up to the published minimum wage</t>
  </si>
  <si>
    <t>TCP Full Time Fac</t>
  </si>
  <si>
    <t xml:space="preserve">Update highlighted cell C1 with the current H-6 rate from the FT Faculty Salary Schedule </t>
  </si>
  <si>
    <t>Update highlighted cell C15 with the Group 3, Step 3 hourly rate from the Faculty Hourly Salary Schedule</t>
  </si>
  <si>
    <t>TCP Full Time CounsLib</t>
  </si>
  <si>
    <t>Update highlight cell C1 with the current H-6 rate from the Counselor, Librarian, Student Activities Coordinator Salary Schedule</t>
  </si>
  <si>
    <t>TCP Assoc Fac</t>
  </si>
  <si>
    <t>Update the following highlight cells with the rates from the Faculty Hourly Salary Schedule</t>
  </si>
  <si>
    <t>C1 - Group 3, Step 3</t>
  </si>
  <si>
    <t>C3 - Group 1, Step 1</t>
  </si>
  <si>
    <t>Update the data in the highlighted cells:  fiscal years and utility spend data.</t>
  </si>
  <si>
    <t xml:space="preserve">The OGSF and ASF columns are linked to the Fusion GSF by Location and bldg_summary All tabs, respectively.  Make sure they </t>
  </si>
  <si>
    <t>are appropriately linked after you upload the current data.</t>
  </si>
  <si>
    <t>The Gas (5510), Electricity (5520) &amp; Water (5530) data is pulled from the View Financial Summary download hidden in the spreadsheet.</t>
  </si>
  <si>
    <t>Make sure that the formulas and links are still intact after you have updated the data.</t>
  </si>
  <si>
    <t>Cost Per Section</t>
  </si>
  <si>
    <t>Add in the previous fiscal year EMD data to each discipline line and point G30 &amp; G31 on the Expenses tab to updated data</t>
  </si>
  <si>
    <t>The number of sections comes from the EMD.  You can see previous year's data in the back up folder.  I've updated all date from FY 12/13</t>
  </si>
  <si>
    <t>The cost data is from object codes 4XXX - 6XXX all funding sources from View Financial Summary in Galaxy.  You will have to adjust</t>
  </si>
  <si>
    <t>the goals that lead with a zero by putting a '0 in front of it so you can filter by the first three digits in the Tops Code, if you want to do it that way</t>
  </si>
  <si>
    <t>Goal 08090 is not to be included in this calculation since it is not a discipline but a departmental service</t>
  </si>
  <si>
    <t>This data does not include object code 5421 - GL&amp;P</t>
  </si>
  <si>
    <t>Make sure the index number is correct cell in cells G30, G31 on the "Expenses" tab when referencing the Cost per Section data.</t>
  </si>
  <si>
    <t>The Dicipline Description column must be in alphabetical order.</t>
  </si>
  <si>
    <t>M &amp; O Standards</t>
  </si>
  <si>
    <t>Not sure how this tab works into the entire workbook so we have altered it to meet our needs.  The original tab is hidden in the workbook for future use.</t>
  </si>
  <si>
    <t>Find the APPA Staffing Standards to check the Custodial, Maintenance and Grounds standards.  Update the tab after confirming with VP, BS</t>
  </si>
  <si>
    <t>ASF &amp; GSF numbers are linked to the bldg summary tab and Fusion GSF by Location tabs, respectively.  Make sure the links are still aligned</t>
  </si>
  <si>
    <t>1 acre = 43,560 Square Feet</t>
  </si>
  <si>
    <t>2/7/20 - kept Athletic Field Acres the same when making the calculations on the bottom of this tab.</t>
  </si>
  <si>
    <t>Fusion GSF By Location</t>
  </si>
  <si>
    <t>Download the building summary from Fusion for the CFY.  Import the data into the spreadsheet as its own tab.</t>
  </si>
  <si>
    <t>Point the appropriate fields in the Fusion GSF by Location tab to the data in the bldg summary tab that you just pulled from Fusion.</t>
  </si>
  <si>
    <t>When finished, the total should balance back to the Fusion data</t>
  </si>
  <si>
    <t>Password</t>
  </si>
  <si>
    <t>TCO</t>
  </si>
  <si>
    <t>Table V</t>
  </si>
  <si>
    <t>Maintenance and Operations Task Force</t>
  </si>
  <si>
    <t>Staffing Standard Guidelines</t>
  </si>
  <si>
    <t>Updated 02-2020</t>
  </si>
  <si>
    <t>Updated 09-2023</t>
  </si>
  <si>
    <t>Riverside</t>
  </si>
  <si>
    <t>Moreno Valley</t>
  </si>
  <si>
    <t>Norco</t>
  </si>
  <si>
    <t>Position</t>
  </si>
  <si>
    <t>Current</t>
  </si>
  <si>
    <t>Standard</t>
  </si>
  <si>
    <t>Variance</t>
  </si>
  <si>
    <t>Classified Custodial Staff (Note A)</t>
  </si>
  <si>
    <t>Custodian</t>
  </si>
  <si>
    <t>1 FTE Per 16,700 GSF</t>
  </si>
  <si>
    <t>APPA standard for Level 2 cleaning</t>
  </si>
  <si>
    <t>Classified Grounds Staff (Note B)</t>
  </si>
  <si>
    <t>Grounds Person</t>
  </si>
  <si>
    <t>1 FTE Per 10 Developed Acres</t>
  </si>
  <si>
    <t>1 FTE Per 50 Undeveloped Acres</t>
  </si>
  <si>
    <t>Athletic Field Caretaker</t>
  </si>
  <si>
    <t>1 FTE Per 10 Athletic Field Acres</t>
  </si>
  <si>
    <t>Swimming Pool Caretaker</t>
  </si>
  <si>
    <t>1 FTE Per Pool</t>
  </si>
  <si>
    <t>Parking Structure Caretaker (Grounds Person)</t>
  </si>
  <si>
    <t>1 FTE Per 450,000 GSF</t>
  </si>
  <si>
    <t>Classified Trades Staff</t>
  </si>
  <si>
    <t>Maintenance Mechanic</t>
  </si>
  <si>
    <t>1 FTE Per 67,456 GSF</t>
  </si>
  <si>
    <t>Maintenance Helper</t>
  </si>
  <si>
    <t>1 FTE Per Campus (+ one additional FTE after 175,000 GSF)</t>
  </si>
  <si>
    <t>Total Staff</t>
  </si>
  <si>
    <t>Notes:</t>
  </si>
  <si>
    <t>A</t>
  </si>
  <si>
    <r>
      <t>Custodial staff includes Sr. Custodians; Custodians; Floor Care Personnel; Gym Attendants; Large Campus Factor</t>
    </r>
    <r>
      <rPr>
        <sz val="10"/>
        <color indexed="60"/>
        <rFont val="Times New Roman"/>
        <family val="1"/>
      </rPr>
      <t xml:space="preserve"> (500K GSF includes 3.0 Custodians for Day Time Services and Set-Ups)</t>
    </r>
  </si>
  <si>
    <t>Metrics</t>
  </si>
  <si>
    <t>GSF (Note E)</t>
  </si>
  <si>
    <t>B</t>
  </si>
  <si>
    <t>Grounds staff includes Sr. Grounds Person; Irrigation Repair Person; Equipment Repair Persons</t>
  </si>
  <si>
    <t>Developed Acres</t>
  </si>
  <si>
    <t>Undeveloped Acres</t>
  </si>
  <si>
    <t>Athletic Field Acres</t>
  </si>
  <si>
    <t>C</t>
  </si>
  <si>
    <t>This Position is to be a Working Manager</t>
  </si>
  <si>
    <t xml:space="preserve">Total Acres </t>
  </si>
  <si>
    <t>1 Acre = 43,560 square feet</t>
  </si>
  <si>
    <t>D</t>
  </si>
  <si>
    <t>This Position is to be a Working Manager providing supervision to the night time staff</t>
  </si>
  <si>
    <t>E</t>
  </si>
  <si>
    <t xml:space="preserve">This does not include 450,000 GSF in the Parking Structure Riverside.  </t>
  </si>
  <si>
    <t>Full Time</t>
  </si>
  <si>
    <t>Emp Number</t>
  </si>
  <si>
    <t>Employee Last Name</t>
  </si>
  <si>
    <t>Employee First Name</t>
  </si>
  <si>
    <t>Pos Title Desc</t>
  </si>
  <si>
    <t>335527</t>
  </si>
  <si>
    <t>CRUZ</t>
  </si>
  <si>
    <t>ALMA</t>
  </si>
  <si>
    <t>CUSTODIAN</t>
  </si>
  <si>
    <t>136791</t>
  </si>
  <si>
    <t>BURROUGHS</t>
  </si>
  <si>
    <t>RANDY</t>
  </si>
  <si>
    <t>227242</t>
  </si>
  <si>
    <t>BROWN II</t>
  </si>
  <si>
    <t>WILLIAM</t>
  </si>
  <si>
    <t>237511</t>
  </si>
  <si>
    <t>GONZALES</t>
  </si>
  <si>
    <t>MARIELENA</t>
  </si>
  <si>
    <t>287800</t>
  </si>
  <si>
    <t>HONESTO</t>
  </si>
  <si>
    <t>MICHAEL</t>
  </si>
  <si>
    <t>293034</t>
  </si>
  <si>
    <t>CARDENAS</t>
  </si>
  <si>
    <t>ERNESTO</t>
  </si>
  <si>
    <t>293831</t>
  </si>
  <si>
    <t>CAMPOS</t>
  </si>
  <si>
    <t>JUANITA</t>
  </si>
  <si>
    <t>297333</t>
  </si>
  <si>
    <t>JACOB</t>
  </si>
  <si>
    <t>ALVIN</t>
  </si>
  <si>
    <t>325908</t>
  </si>
  <si>
    <t>CRISTINA</t>
  </si>
  <si>
    <t>331927</t>
  </si>
  <si>
    <t>LOPEZ</t>
  </si>
  <si>
    <t>CARLOS SALDANA</t>
  </si>
  <si>
    <t>289395</t>
  </si>
  <si>
    <t>RODRIGUEZ</t>
  </si>
  <si>
    <t>SENIOR CUSTODIAN</t>
  </si>
  <si>
    <t>Part time</t>
  </si>
  <si>
    <t>174102</t>
  </si>
  <si>
    <t>VILLALOBOS</t>
  </si>
  <si>
    <t>EDWIN</t>
  </si>
  <si>
    <t>Grounds and Mechanic</t>
  </si>
  <si>
    <t>254258</t>
  </si>
  <si>
    <t>YALONG</t>
  </si>
  <si>
    <t>ARTHUR</t>
  </si>
  <si>
    <t>MAINTENANCE MECHANIC (GENERAL)</t>
  </si>
  <si>
    <t>257353</t>
  </si>
  <si>
    <t>BUCH</t>
  </si>
  <si>
    <t>JEFFREY</t>
  </si>
  <si>
    <t>324563</t>
  </si>
  <si>
    <t>SWEATS</t>
  </si>
  <si>
    <t>HERCHEL</t>
  </si>
  <si>
    <t>MAINTENANCE MECHANIC (HVAC)</t>
  </si>
  <si>
    <t>VACANT POSITION</t>
  </si>
  <si>
    <t>218718</t>
  </si>
  <si>
    <t>CHAVIRA</t>
  </si>
  <si>
    <t>VICTOR</t>
  </si>
  <si>
    <t>SPRINKLER REPAIRPERSON</t>
  </si>
  <si>
    <t>295902</t>
  </si>
  <si>
    <t>REFUGIO</t>
  </si>
  <si>
    <t>ATHLETIC FIELD CARETAKER</t>
  </si>
  <si>
    <t>297157</t>
  </si>
  <si>
    <t>SANTANA</t>
  </si>
  <si>
    <t>MARIO</t>
  </si>
  <si>
    <t>GROUNDSPERSON</t>
  </si>
  <si>
    <t>ASF</t>
  </si>
  <si>
    <t>Assingnable square footage</t>
  </si>
  <si>
    <t>ogsf</t>
  </si>
  <si>
    <t>outside gross square footage</t>
  </si>
  <si>
    <t>960 - Riverside Community College District</t>
  </si>
  <si>
    <t>Campus</t>
  </si>
  <si>
    <t>Building Name</t>
  </si>
  <si>
    <t>Year Built</t>
  </si>
  <si>
    <t>Rooms</t>
  </si>
  <si>
    <t>Stations</t>
  </si>
  <si>
    <t>OGSF</t>
  </si>
  <si>
    <t>Efficiency</t>
  </si>
  <si>
    <t>Ownership</t>
  </si>
  <si>
    <t>Plan</t>
  </si>
  <si>
    <t>961 - Riverside City College</t>
  </si>
  <si>
    <t>1</t>
  </si>
  <si>
    <t>QUADRANGLE (PAUL) - 3</t>
  </si>
  <si>
    <t>1923</t>
  </si>
  <si>
    <t>Owned in fee simple</t>
  </si>
  <si>
    <t>Ordinary Masonry</t>
  </si>
  <si>
    <t>P</t>
  </si>
  <si>
    <t>2</t>
  </si>
  <si>
    <t>STADIUM (WHEELOCK FIELD) - 21</t>
  </si>
  <si>
    <t>1928</t>
  </si>
  <si>
    <t>Fire resistive - Concrete</t>
  </si>
  <si>
    <t>3</t>
  </si>
  <si>
    <t>GYMNASIUM (WHEELOCK) - 20</t>
  </si>
  <si>
    <t>Wood Frame</t>
  </si>
  <si>
    <t>4</t>
  </si>
  <si>
    <t>FACILITIES MAINT. &amp; OPS - 33</t>
  </si>
  <si>
    <t>1932</t>
  </si>
  <si>
    <t>5</t>
  </si>
  <si>
    <t>MAINTENANCE PT SHOP</t>
  </si>
  <si>
    <t>6</t>
  </si>
  <si>
    <t>TECHNOLOGY A - 27</t>
  </si>
  <si>
    <t>1933</t>
  </si>
  <si>
    <t>7</t>
  </si>
  <si>
    <t>TECHNOLOGY B - 26</t>
  </si>
  <si>
    <t>1938</t>
  </si>
  <si>
    <t>10</t>
  </si>
  <si>
    <t>CESAR CHAVEZ (INACTIVE) - 15</t>
  </si>
  <si>
    <t>1949</t>
  </si>
  <si>
    <t>12</t>
  </si>
  <si>
    <t>LANDIS PERFORMING ARTS CTR - 7</t>
  </si>
  <si>
    <t>1952</t>
  </si>
  <si>
    <t>13</t>
  </si>
  <si>
    <t>MUSIC BUILDING - 5</t>
  </si>
  <si>
    <t>14</t>
  </si>
  <si>
    <t>ART - 19</t>
  </si>
  <si>
    <t>1953</t>
  </si>
  <si>
    <t>15</t>
  </si>
  <si>
    <t>GYMNASIUM (HUNTLEY) - 30</t>
  </si>
  <si>
    <t>16</t>
  </si>
  <si>
    <t>WAREHOUSE - 32</t>
  </si>
  <si>
    <t>Light Incombustible Frame</t>
  </si>
  <si>
    <t>18</t>
  </si>
  <si>
    <t>COSMETOLOGY - 34</t>
  </si>
  <si>
    <t>1958</t>
  </si>
  <si>
    <t>19</t>
  </si>
  <si>
    <t>CUTTER POOL (INACTIVE)</t>
  </si>
  <si>
    <t>20</t>
  </si>
  <si>
    <t>BUSINESS &amp; LAW EDUCATION</t>
  </si>
  <si>
    <t>1967</t>
  </si>
  <si>
    <t>21</t>
  </si>
  <si>
    <t>MLK HIGH TECH CNTR - 8</t>
  </si>
  <si>
    <t>1968</t>
  </si>
  <si>
    <t>22</t>
  </si>
  <si>
    <t>COMPUTER INFORMATION SYSTEMS</t>
  </si>
  <si>
    <t>23</t>
  </si>
  <si>
    <t>PLANETARIUM (DIXON) - 10</t>
  </si>
  <si>
    <t>24</t>
  </si>
  <si>
    <t>STUDENT CTR (BRADSHAW) - 13</t>
  </si>
  <si>
    <t>26</t>
  </si>
  <si>
    <t>CERAMICS - 18</t>
  </si>
  <si>
    <t>1973</t>
  </si>
  <si>
    <t>30</t>
  </si>
  <si>
    <t>AUTOMOTIVE TECH - 28</t>
  </si>
  <si>
    <t>1976</t>
  </si>
  <si>
    <t>31</t>
  </si>
  <si>
    <t>EARLY CHILDHOOD ED - 17</t>
  </si>
  <si>
    <t>32</t>
  </si>
  <si>
    <t>BUSINESS EDUCATION (PAUW) - 4</t>
  </si>
  <si>
    <t>1977</t>
  </si>
  <si>
    <t>33</t>
  </si>
  <si>
    <t>EQUIPMENT STORAGE (M&amp;O-GROUNDS YARD)</t>
  </si>
  <si>
    <t>1980</t>
  </si>
  <si>
    <t>34</t>
  </si>
  <si>
    <t>2002</t>
  </si>
  <si>
    <t>35</t>
  </si>
  <si>
    <t>MUSIC HALL (STOVER) - 6</t>
  </si>
  <si>
    <t>36</t>
  </si>
  <si>
    <t>PILATES STUDIO (CRABTREE) - 31</t>
  </si>
  <si>
    <t>37</t>
  </si>
  <si>
    <t>DIGITAL LIBRARY - 1</t>
  </si>
  <si>
    <t>2003</t>
  </si>
  <si>
    <t>39</t>
  </si>
  <si>
    <t>LOVEKIN COMPLEX #01 - 29</t>
  </si>
  <si>
    <t>2004</t>
  </si>
  <si>
    <t>41</t>
  </si>
  <si>
    <t>CLUBHOUSE BRADSHAW - 13A</t>
  </si>
  <si>
    <t>47</t>
  </si>
  <si>
    <t>LANDIS ANNEX - 7A</t>
  </si>
  <si>
    <t>48</t>
  </si>
  <si>
    <t>PARKING STRUCTURE - 36</t>
  </si>
  <si>
    <t>2006</t>
  </si>
  <si>
    <t>161</t>
  </si>
  <si>
    <t>EVANS SPRTS CMPLX A BSBL</t>
  </si>
  <si>
    <t>1989</t>
  </si>
  <si>
    <t>162</t>
  </si>
  <si>
    <t>EVANS SPRTS CMPLX B SFBL</t>
  </si>
  <si>
    <t>163</t>
  </si>
  <si>
    <t>EVANS SPRTS CMPLX C LTLL</t>
  </si>
  <si>
    <t>164</t>
  </si>
  <si>
    <t>EVANS SPRTS CMPLX D GRND</t>
  </si>
  <si>
    <t>167</t>
  </si>
  <si>
    <t>AQUATICS COMPLEX - 25</t>
  </si>
  <si>
    <t>2011</t>
  </si>
  <si>
    <t>168</t>
  </si>
  <si>
    <t>MATH/SCIENCE MECH BLDG - 12</t>
  </si>
  <si>
    <t>169</t>
  </si>
  <si>
    <t>HAZMAT BUILDING</t>
  </si>
  <si>
    <t>184</t>
  </si>
  <si>
    <t>ECD ANNEX (Portable H1) - 17</t>
  </si>
  <si>
    <t>2005</t>
  </si>
  <si>
    <t>185</t>
  </si>
  <si>
    <t>Mod @ 161 BB (EVANS)</t>
  </si>
  <si>
    <t>186</t>
  </si>
  <si>
    <t>Mod@ 162 SB (EVANS)</t>
  </si>
  <si>
    <t>190</t>
  </si>
  <si>
    <t>Dugout#1@161 BB</t>
  </si>
  <si>
    <t>2000</t>
  </si>
  <si>
    <t/>
  </si>
  <si>
    <t>191</t>
  </si>
  <si>
    <t>Dugout#2@161 BB</t>
  </si>
  <si>
    <t>192</t>
  </si>
  <si>
    <t>Dugout#1@162 SB</t>
  </si>
  <si>
    <t>193</t>
  </si>
  <si>
    <t>Dugout#2@162 SB</t>
  </si>
  <si>
    <t>194</t>
  </si>
  <si>
    <t>Dugout#1@163 LL</t>
  </si>
  <si>
    <t>195</t>
  </si>
  <si>
    <t>Dugout#2@163 LL</t>
  </si>
  <si>
    <t>196</t>
  </si>
  <si>
    <t>ANNEX COMPLEX - 5A</t>
  </si>
  <si>
    <t>197</t>
  </si>
  <si>
    <t>MATH &amp; SCIENCE - 12</t>
  </si>
  <si>
    <t>2012</t>
  </si>
  <si>
    <t>198</t>
  </si>
  <si>
    <t>CULINARY ARTS ACADEMY</t>
  </si>
  <si>
    <t>2015</t>
  </si>
  <si>
    <t>200</t>
  </si>
  <si>
    <t>COIL SCHOOL OF ARTS</t>
  </si>
  <si>
    <t>201</t>
  </si>
  <si>
    <t>STUDENT SRVS/ADMIN (KANE) - 2A</t>
  </si>
  <si>
    <t>2016</t>
  </si>
  <si>
    <t>202</t>
  </si>
  <si>
    <t>ELEV. TOWER #1 ART</t>
  </si>
  <si>
    <t>203</t>
  </si>
  <si>
    <t>ELEV. TOWER  #2 - WHEELOCK</t>
  </si>
  <si>
    <t>204</t>
  </si>
  <si>
    <t>ELEV. TOWER #3 - TECH A / B</t>
  </si>
  <si>
    <t>205</t>
  </si>
  <si>
    <t>CUTTER MECHANICAL</t>
  </si>
  <si>
    <t>206</t>
  </si>
  <si>
    <t>AQUATICS COMPLEX MECH - 25</t>
  </si>
  <si>
    <t>208</t>
  </si>
  <si>
    <t>STADIUM RESTROOM PORTABLE #1</t>
  </si>
  <si>
    <t>209</t>
  </si>
  <si>
    <t>EARLY CHILDHOOD MECH - 17</t>
  </si>
  <si>
    <t>210</t>
  </si>
  <si>
    <t>ELEV. TOWER #4-BRADSHAW</t>
  </si>
  <si>
    <t>211</t>
  </si>
  <si>
    <t>SCHOOL OF NURSING - 11</t>
  </si>
  <si>
    <t>212</t>
  </si>
  <si>
    <t>BAND STORAGE</t>
  </si>
  <si>
    <t>213</t>
  </si>
  <si>
    <t>LOVEKIN COMPLEX #02 - 29</t>
  </si>
  <si>
    <t>214</t>
  </si>
  <si>
    <t>LOVEKIN COMPLEX #10 - 29</t>
  </si>
  <si>
    <t>215</t>
  </si>
  <si>
    <t>LOVEKIN COMPLEX #12 - 29</t>
  </si>
  <si>
    <t>216</t>
  </si>
  <si>
    <t>LOVEKIN COMPLEX #13 - 29</t>
  </si>
  <si>
    <t>217</t>
  </si>
  <si>
    <t>LOVEKIN COMPLEX #14 - 29</t>
  </si>
  <si>
    <t>218</t>
  </si>
  <si>
    <t>STADIUM RESTROOM PORTABLE #2</t>
  </si>
  <si>
    <t>219</t>
  </si>
  <si>
    <t>LOVEKIN COMPLEX #11 - 29</t>
  </si>
  <si>
    <t>220</t>
  </si>
  <si>
    <t>AUTOTECH STORAGE</t>
  </si>
  <si>
    <t>1978</t>
  </si>
  <si>
    <t>221</t>
  </si>
  <si>
    <t>STORAGE GARAGE 1</t>
  </si>
  <si>
    <t>222</t>
  </si>
  <si>
    <t>STORAGE GARAGE 2</t>
  </si>
  <si>
    <t>224</t>
  </si>
  <si>
    <t>MLK DATA BUILDING</t>
  </si>
  <si>
    <t>2007</t>
  </si>
  <si>
    <t>231</t>
  </si>
  <si>
    <t>SOCCER STORAGE</t>
  </si>
  <si>
    <t>2009</t>
  </si>
  <si>
    <t>232</t>
  </si>
  <si>
    <t>GREENHOUSE</t>
  </si>
  <si>
    <t>2020</t>
  </si>
  <si>
    <t>233</t>
  </si>
  <si>
    <t>TSS PORTABLE</t>
  </si>
  <si>
    <t>2022</t>
  </si>
  <si>
    <t>234</t>
  </si>
  <si>
    <t>WEIGHT EQUIPMENT STORAGE</t>
  </si>
  <si>
    <t>2023</t>
  </si>
  <si>
    <t>235</t>
  </si>
  <si>
    <t>EQUIPMENT STORAGE (M&amp;O-GROUNDS DIESEL)</t>
  </si>
  <si>
    <t>962 - Moreno Valley College</t>
  </si>
  <si>
    <t>LIBRARY - 1</t>
  </si>
  <si>
    <t>1991</t>
  </si>
  <si>
    <t>STUDENT SERVICES - 2</t>
  </si>
  <si>
    <t>SCIENCE &amp; TECHNOLOGY - 3</t>
  </si>
  <si>
    <t>LIONS DEN CAFE - 4</t>
  </si>
  <si>
    <t>PH 1 MECHANICAL - 9</t>
  </si>
  <si>
    <t>HUMANITIES - 8</t>
  </si>
  <si>
    <t>1995</t>
  </si>
  <si>
    <t>PH 2 MECHANICAL - 10</t>
  </si>
  <si>
    <t>1994</t>
  </si>
  <si>
    <t>8</t>
  </si>
  <si>
    <t>BOOKSTORE - 6</t>
  </si>
  <si>
    <t>1999</t>
  </si>
  <si>
    <t>9</t>
  </si>
  <si>
    <t>ADMIN ANNEX - 16</t>
  </si>
  <si>
    <t>PSC MULTIPURPOSE - 13B</t>
  </si>
  <si>
    <t>11</t>
  </si>
  <si>
    <t>STUDENT ACTIVITIES CENTER - 5</t>
  </si>
  <si>
    <t>PSC WAREHOUSE - 13A - 13</t>
  </si>
  <si>
    <t>EARLY CHILDHOOD ED CTR - 18</t>
  </si>
  <si>
    <t>PARKSIDE COMPLEX #01 - 13</t>
  </si>
  <si>
    <t>PARKSIDE COMPLEX #02 - 13</t>
  </si>
  <si>
    <t>PARKSIDE COMPLEX #03 - 13</t>
  </si>
  <si>
    <t>PARKSIDE COMPLEX #04 - 13</t>
  </si>
  <si>
    <t>PARKSIDE COMPLEX #06 - 13</t>
  </si>
  <si>
    <t>PARKSIDE COMPLEX #07 - 13</t>
  </si>
  <si>
    <t>PARKSIDE COMPLEX #08 - 13</t>
  </si>
  <si>
    <t>PARKSIDE COMPLEX #09 - 13</t>
  </si>
  <si>
    <t>PARKSIDE COMPLEX #10 - 13</t>
  </si>
  <si>
    <t>PARKSIDE COMPLEX #11 - 13</t>
  </si>
  <si>
    <t>25</t>
  </si>
  <si>
    <t>PARKSIDE COMPLEX #12 - 13</t>
  </si>
  <si>
    <t>PARKSIDE COMPLEX #13 - 13</t>
  </si>
  <si>
    <t>27</t>
  </si>
  <si>
    <t>PARKSIDE COMPLEX #14 - 13</t>
  </si>
  <si>
    <t>28</t>
  </si>
  <si>
    <t>PARKSIDE COMPLEX #15 - 13</t>
  </si>
  <si>
    <t>29</t>
  </si>
  <si>
    <t>PARKSIDE COMPLEX #16 - 13</t>
  </si>
  <si>
    <t>PARKSIDE COMPLEX #17 - 13</t>
  </si>
  <si>
    <t>PARKSIDE COMPLEX #18 - 13</t>
  </si>
  <si>
    <t>51</t>
  </si>
  <si>
    <t>PARKSIDE COMPLEX #05 RR - 13</t>
  </si>
  <si>
    <t>52</t>
  </si>
  <si>
    <t>PARKSIDE COMPLEX #19 RR - 13</t>
  </si>
  <si>
    <t>53</t>
  </si>
  <si>
    <t>DENTAL ED CENTER A - 19</t>
  </si>
  <si>
    <t>54</t>
  </si>
  <si>
    <t>DENTAL ED CENTER B - 19</t>
  </si>
  <si>
    <t>55</t>
  </si>
  <si>
    <t>DENTAL ED CENTER C - 19</t>
  </si>
  <si>
    <t>56</t>
  </si>
  <si>
    <t>PARKSIDE COMPLEX #20 - 13</t>
  </si>
  <si>
    <t>57</t>
  </si>
  <si>
    <t>PARKSIDE COMPLEX #21 - 13</t>
  </si>
  <si>
    <t>58</t>
  </si>
  <si>
    <t>PARKSIDE COMPLEX #22 - 13</t>
  </si>
  <si>
    <t>59</t>
  </si>
  <si>
    <t>PARKSIDE COMPLEX #23 - 13</t>
  </si>
  <si>
    <t>60</t>
  </si>
  <si>
    <t>STUDENT ACADEMIC SRVS. - 20</t>
  </si>
  <si>
    <t>2013</t>
  </si>
  <si>
    <t>61</t>
  </si>
  <si>
    <t>NETWORK OPERATIONS CTR - 21</t>
  </si>
  <si>
    <t>62</t>
  </si>
  <si>
    <t>ELEVATOR TOWER  @ SCI</t>
  </si>
  <si>
    <t>63</t>
  </si>
  <si>
    <t>DENTAL ED MECHANICAL 1</t>
  </si>
  <si>
    <t>64</t>
  </si>
  <si>
    <t>DENTAL ED MECHANICAL 2</t>
  </si>
  <si>
    <t>65</t>
  </si>
  <si>
    <t>66</t>
  </si>
  <si>
    <t>WELCOME CENTER</t>
  </si>
  <si>
    <t>2021</t>
  </si>
  <si>
    <t>963 - Norco College</t>
  </si>
  <si>
    <t>STUDENT SERVICES - A</t>
  </si>
  <si>
    <t>SCIENCE &amp; TECHNOLOGY - B</t>
  </si>
  <si>
    <t>THEATER - C</t>
  </si>
  <si>
    <t>HUMANITIES - D</t>
  </si>
  <si>
    <t>COLLEGE RESOURCE CTR - E</t>
  </si>
  <si>
    <t>CENTRAL PLANT F1</t>
  </si>
  <si>
    <t>FACILITIES M1</t>
  </si>
  <si>
    <t>FACILITIES M2</t>
  </si>
  <si>
    <t>LIBRARY (AIREY) - G</t>
  </si>
  <si>
    <t>APPLIED TECH - N</t>
  </si>
  <si>
    <t>CENTRAL PLANT F2</t>
  </si>
  <si>
    <t>BOOKSTORE - I</t>
  </si>
  <si>
    <t>CTR. APPLIED &amp; COMP TECH - K</t>
  </si>
  <si>
    <t>MULTI-PURPOSE W1 &amp; W2 - L</t>
  </si>
  <si>
    <t>STEM CENTER 100 - H</t>
  </si>
  <si>
    <t>17</t>
  </si>
  <si>
    <t>PORTABLE A - P</t>
  </si>
  <si>
    <t>PORTABLE B - P</t>
  </si>
  <si>
    <t>WEST END QUAD W9 - L</t>
  </si>
  <si>
    <t>INDUSTRIAL TECH - Q</t>
  </si>
  <si>
    <t>SOCCER LKR RM WM 1 - R</t>
  </si>
  <si>
    <t>2010</t>
  </si>
  <si>
    <t>SOCCER LKR RM MN 2 - R</t>
  </si>
  <si>
    <t>CTR FOR STU SUCCESS - S</t>
  </si>
  <si>
    <t>WEST END QUAD W8 - L</t>
  </si>
  <si>
    <t>OPERATIONS - T</t>
  </si>
  <si>
    <t>STEM CENTER 300 - J</t>
  </si>
  <si>
    <t>STEM CENTER 200 - J</t>
  </si>
  <si>
    <t>WEST END QUAD W3 - L</t>
  </si>
  <si>
    <t>WEST END QUAD W4 - L</t>
  </si>
  <si>
    <t>WEST END QUAD W5 - L</t>
  </si>
  <si>
    <t>WEST END QUAD W6 - L</t>
  </si>
  <si>
    <t>WEST END QUAD W7 - L</t>
  </si>
  <si>
    <t>HAZMAT BUILDING @ M1</t>
  </si>
  <si>
    <t>GROUNDS STORAGE SHED</t>
  </si>
  <si>
    <t>2001</t>
  </si>
  <si>
    <t>WEST END QUAD STORAGE</t>
  </si>
  <si>
    <t>38</t>
  </si>
  <si>
    <t>WEST END QUAD RESTROOMS</t>
  </si>
  <si>
    <t>40</t>
  </si>
  <si>
    <t>VETERANS RESOURCE CENTER</t>
  </si>
  <si>
    <t>166</t>
  </si>
  <si>
    <t>STOKOE ILC</t>
  </si>
  <si>
    <t>964 - Riverside District Administrative Office*</t>
  </si>
  <si>
    <t>DISPATCHSAFETY/SECURITY</t>
  </si>
  <si>
    <t>1948</t>
  </si>
  <si>
    <t>T</t>
  </si>
  <si>
    <t>DATA PROCESSING</t>
  </si>
  <si>
    <t>WAREHOUSE ANNEX B</t>
  </si>
  <si>
    <t>1970</t>
  </si>
  <si>
    <t>INFO SERVICES TELECOM</t>
  </si>
  <si>
    <t>130</t>
  </si>
  <si>
    <t>COLLEGE HOUSE (INACTIVE)</t>
  </si>
  <si>
    <t>1929</t>
  </si>
  <si>
    <t>131</t>
  </si>
  <si>
    <t>NORTH HALL (INACTIVE)</t>
  </si>
  <si>
    <t>Heavy Timber</t>
  </si>
  <si>
    <t>132</t>
  </si>
  <si>
    <t>ALUMNI HOUSE</t>
  </si>
  <si>
    <t>1917</t>
  </si>
  <si>
    <t>136</t>
  </si>
  <si>
    <t>CENTER SOCIAL JUSTICE</t>
  </si>
  <si>
    <t>1926</t>
  </si>
  <si>
    <t>137</t>
  </si>
  <si>
    <t>DISTRICT OFFICE DOWNTOWN RIVERSIDE</t>
  </si>
  <si>
    <t>138</t>
  </si>
  <si>
    <t>CARRIAGE HOUSE</t>
  </si>
  <si>
    <t>139</t>
  </si>
  <si>
    <t>140</t>
  </si>
  <si>
    <t>INLAND EMPIRE TECH BRIDGE CENTER</t>
  </si>
  <si>
    <t>2018</t>
  </si>
  <si>
    <t>199</t>
  </si>
  <si>
    <t>PARKING STRUCTURE - CSA</t>
  </si>
  <si>
    <t>965 - Ben Clark Training Center</t>
  </si>
  <si>
    <t>74</t>
  </si>
  <si>
    <t>BEN CLARK FIRE MODULAR L</t>
  </si>
  <si>
    <t>2008</t>
  </si>
  <si>
    <t>75</t>
  </si>
  <si>
    <t>BEN CLARK SHERIFF MOD #3</t>
  </si>
  <si>
    <t>76</t>
  </si>
  <si>
    <t>BEN CLARK SHERIFF MOD #4</t>
  </si>
  <si>
    <t>78</t>
  </si>
  <si>
    <t>BEN CLARK SHERIFF MOD #9</t>
  </si>
  <si>
    <t>79</t>
  </si>
  <si>
    <t>BEN CLARK SHERIFF MOD#10</t>
  </si>
  <si>
    <t>Not owned by the district but leased or rented to the district</t>
  </si>
  <si>
    <t>80</t>
  </si>
  <si>
    <t>BEN CLARK SHERIFF MOD#11</t>
  </si>
  <si>
    <t>84</t>
  </si>
  <si>
    <t>BEN CLARK SHOOTING BAY</t>
  </si>
  <si>
    <t>85</t>
  </si>
  <si>
    <t>BEN CLARK PLATFORM SCENARIO BLDG</t>
  </si>
  <si>
    <t>District-owned facilites or rented to other parties</t>
  </si>
  <si>
    <t>86</t>
  </si>
  <si>
    <t>EDUCATION BUILDING 1</t>
  </si>
  <si>
    <t>87</t>
  </si>
  <si>
    <t>BEN CLARK FIRE MODULAR K</t>
  </si>
  <si>
    <t>Utilities Analysis</t>
  </si>
  <si>
    <t>FY2024-25</t>
  </si>
  <si>
    <t>Updated</t>
  </si>
  <si>
    <t>Entity</t>
  </si>
  <si>
    <t>OGSF*</t>
  </si>
  <si>
    <t>ASF*</t>
  </si>
  <si>
    <t>Gas</t>
  </si>
  <si>
    <t>Vendor</t>
  </si>
  <si>
    <t>Per OGSF</t>
  </si>
  <si>
    <t>Per ASF</t>
  </si>
  <si>
    <t>Electricity</t>
  </si>
  <si>
    <t>Water</t>
  </si>
  <si>
    <t>District</t>
  </si>
  <si>
    <t>Gas Company</t>
  </si>
  <si>
    <t>SCE, Magnon Prop Mgmt, City of Riverside,</t>
  </si>
  <si>
    <t xml:space="preserve">City of Corona, Magnon Prop Mgmt, </t>
  </si>
  <si>
    <t>RCC</t>
  </si>
  <si>
    <t>City of Riverside</t>
  </si>
  <si>
    <t>NC</t>
  </si>
  <si>
    <t>SCE</t>
  </si>
  <si>
    <t>City of Norco</t>
  </si>
  <si>
    <t>MVC</t>
  </si>
  <si>
    <t>EMWD</t>
  </si>
  <si>
    <t>Average</t>
  </si>
  <si>
    <t>Weighted average</t>
  </si>
  <si>
    <t>*</t>
  </si>
  <si>
    <t>Per Space Inventory FY 2023/24</t>
  </si>
  <si>
    <t>Example</t>
  </si>
  <si>
    <t>GSF=Gross Square Footage</t>
  </si>
  <si>
    <t>OSGF</t>
  </si>
  <si>
    <t>Total Annual Average Utilities</t>
  </si>
  <si>
    <t xml:space="preserve">   ASF=Assignable Square Footage</t>
  </si>
  <si>
    <t>CHP&amp;K</t>
  </si>
  <si>
    <t>*Taking only Fund 11, Fx 0000</t>
  </si>
  <si>
    <t>District Electric is in 551</t>
  </si>
  <si>
    <t>View Financial Summary</t>
  </si>
  <si>
    <t>Generated By 324326 on 8/21/2025, 10:53:04 AM</t>
  </si>
  <si>
    <t>Objects 5510-5520-5530 only fund 11 - only resource 1000</t>
  </si>
  <si>
    <t xml:space="preserve">County </t>
  </si>
  <si>
    <t>33 - RIVERSIDE COUNTY</t>
  </si>
  <si>
    <t>RCC College pays for District electricty. District provides budget for RCC to pay for electricity</t>
  </si>
  <si>
    <t xml:space="preserve">District </t>
  </si>
  <si>
    <t>07 - RIVERSIDE COMMUNITY COLLEGE DISTRICT</t>
  </si>
  <si>
    <t>Begin Date</t>
  </si>
  <si>
    <t>07/01/2024</t>
  </si>
  <si>
    <t xml:space="preserve">Using these amounts for FY 24-25 so we can have a full year of actuals for reference. </t>
  </si>
  <si>
    <t>End Date</t>
  </si>
  <si>
    <t>06/30/2025</t>
  </si>
  <si>
    <t>ST</t>
  </si>
  <si>
    <t>FD</t>
  </si>
  <si>
    <t>Sch</t>
  </si>
  <si>
    <t>Resc</t>
  </si>
  <si>
    <t>PY</t>
  </si>
  <si>
    <t>Goal</t>
  </si>
  <si>
    <t>Func</t>
  </si>
  <si>
    <t>OBJ</t>
  </si>
  <si>
    <t>Object Code Description</t>
  </si>
  <si>
    <t>Adopted Budget</t>
  </si>
  <si>
    <t>Revised Budget</t>
  </si>
  <si>
    <t>Rev/ Exp Net of Abatements</t>
  </si>
  <si>
    <t>Encumbrances</t>
  </si>
  <si>
    <t>Uncommitted/ Unrealized</t>
  </si>
  <si>
    <t>ADD</t>
  </si>
  <si>
    <t xml:space="preserve">NATURAL GAS                                                                                                                                                                                                                                                    </t>
  </si>
  <si>
    <t xml:space="preserve">ELECTRICITY                                                                                                                                                                                                                                                    </t>
  </si>
  <si>
    <t>ADG</t>
  </si>
  <si>
    <t>AJO</t>
  </si>
  <si>
    <t>AZR</t>
  </si>
  <si>
    <t>DCA</t>
  </si>
  <si>
    <t>DCC</t>
  </si>
  <si>
    <t>DDD</t>
  </si>
  <si>
    <t xml:space="preserve">WATER                                                                                                                                                                                                                                                          </t>
  </si>
  <si>
    <t>DQD</t>
  </si>
  <si>
    <t>ECA</t>
  </si>
  <si>
    <t>ECH</t>
  </si>
  <si>
    <t>EDD</t>
  </si>
  <si>
    <t>EZJ</t>
  </si>
  <si>
    <t>FDD</t>
  </si>
  <si>
    <t>FTA</t>
  </si>
  <si>
    <t>FZA</t>
  </si>
  <si>
    <t>Initial Cost</t>
  </si>
  <si>
    <t>Computer Type</t>
  </si>
  <si>
    <t># of Computers</t>
  </si>
  <si>
    <r>
      <t xml:space="preserve">Estimated Price, Computer &amp; Warranty </t>
    </r>
    <r>
      <rPr>
        <b/>
        <i/>
        <sz val="12"/>
        <color indexed="56"/>
        <rFont val="Calibri"/>
        <family val="2"/>
      </rPr>
      <t>(Choose from Dropdown)</t>
    </r>
    <r>
      <rPr>
        <sz val="12"/>
        <color indexed="56"/>
        <rFont val="Calibri"/>
        <family val="2"/>
      </rPr>
      <t>:</t>
    </r>
  </si>
  <si>
    <t>PC</t>
  </si>
  <si>
    <t>Estimated Price, All Other:</t>
  </si>
  <si>
    <t>Additional Component(s) cost:</t>
  </si>
  <si>
    <t>1 docking station + 1 monitor</t>
  </si>
  <si>
    <t>Maintenance Contract/Warranty/Software License cost:</t>
  </si>
  <si>
    <t>Software Training cost:</t>
  </si>
  <si>
    <t>Installation cost:</t>
  </si>
  <si>
    <t>Total Initial Cost:</t>
  </si>
  <si>
    <t>Operating Cost, Computer</t>
  </si>
  <si>
    <t>Expected Life-cycle (in years), Computer:</t>
  </si>
  <si>
    <t>Estimated Cost for Annual Maintenance Contract/Repairs (for Entire Life-Cycle):</t>
  </si>
  <si>
    <t>Estimated Cost for future Upgrade/Replacement (for Entire Life-Cycle, 10% Inflation):</t>
  </si>
  <si>
    <t>Operating Cost, All Other</t>
  </si>
  <si>
    <t>Expected Life-cycle (in years), All Other:</t>
  </si>
  <si>
    <t>Estimated Cost for future Upgrade/Replacement (for Entire Life-Cycle):</t>
  </si>
  <si>
    <t>Total Operating Cost:</t>
  </si>
  <si>
    <t>Total Cost of Ownership</t>
  </si>
  <si>
    <t>Initial Cost + Operating Cost = Total Cost of Ownership:</t>
  </si>
  <si>
    <t>Prices for PC and MAC reviewed with Jason Caceres Aug 2023 &gt;&gt;&gt; adding a cost per docking station of 350 and per monitor of 300 dollars</t>
  </si>
  <si>
    <t>per docking station</t>
  </si>
  <si>
    <t>out the door price</t>
  </si>
  <si>
    <t>Per monitor</t>
  </si>
  <si>
    <t>If computers brake and they are under 3 year warranty, then they are sent to Western Data but cost will be covered</t>
  </si>
  <si>
    <t>If computers brake and they are over 3 year warranty, then they are sent to Western Data, cost will be incurred at that time</t>
  </si>
  <si>
    <t>Classified Administrator Manager (PERS)</t>
  </si>
  <si>
    <t>2025</t>
  </si>
  <si>
    <t>HVAC  STOR. CONT.</t>
  </si>
  <si>
    <t>246</t>
  </si>
  <si>
    <t>EMER. STOR. CONT.</t>
  </si>
  <si>
    <t>245</t>
  </si>
  <si>
    <t>ASSOC. STOR. CONT. 2</t>
  </si>
  <si>
    <t>244</t>
  </si>
  <si>
    <t>ASSOC. STOR. CONT. 1</t>
  </si>
  <si>
    <t>243</t>
  </si>
  <si>
    <t>ATTIC STOCK STOR. CONT.</t>
  </si>
  <si>
    <t>242</t>
  </si>
  <si>
    <t>FFE STOR. CONT. 2</t>
  </si>
  <si>
    <t>241</t>
  </si>
  <si>
    <t>FFE STOR. CONT. 1</t>
  </si>
  <si>
    <t>240</t>
  </si>
  <si>
    <t>GROUNDS EQUIP STOR. CONT.</t>
  </si>
  <si>
    <t>239</t>
  </si>
  <si>
    <t>PE EQUIP STOR. CONT. 2</t>
  </si>
  <si>
    <t>238</t>
  </si>
  <si>
    <t>PE EQUIP STOR. CONT. 1</t>
  </si>
  <si>
    <t>237</t>
  </si>
  <si>
    <t>1751 THIRD ST. STE101</t>
  </si>
  <si>
    <t>236</t>
  </si>
  <si>
    <t>CONEX 16 - M&amp;O EQUIPMENT</t>
  </si>
  <si>
    <t>82</t>
  </si>
  <si>
    <t>CONEX 15 - M&amp;O EQUIPMENT</t>
  </si>
  <si>
    <t>81</t>
  </si>
  <si>
    <t>CONEX 14 - M&amp;O FURNITURE</t>
  </si>
  <si>
    <t>CONEX 13 - M&amp;O FURNITURE</t>
  </si>
  <si>
    <t>CONEX 12 - M&amp;O STORAGE</t>
  </si>
  <si>
    <t>CONEX 11 - FURNITURE</t>
  </si>
  <si>
    <t>77</t>
  </si>
  <si>
    <t>CONEX 10 - AA SUPPLY</t>
  </si>
  <si>
    <t>CONEX 9- M&amp;O STORAGE</t>
  </si>
  <si>
    <t>CONEX 8- MC SUPPLY</t>
  </si>
  <si>
    <t>CONEX 7-MC SUPPLY</t>
  </si>
  <si>
    <t>73</t>
  </si>
  <si>
    <t>CONEX 6-EOC STORAGE</t>
  </si>
  <si>
    <t>72</t>
  </si>
  <si>
    <t>CONEX 5-DSS STORAGE</t>
  </si>
  <si>
    <t>71</t>
  </si>
  <si>
    <t>CONEX 4-EOPS STORAGE</t>
  </si>
  <si>
    <t>70</t>
  </si>
  <si>
    <t>CONEX 3-STUDENT ACTIVITY</t>
  </si>
  <si>
    <t>69</t>
  </si>
  <si>
    <t>CONEX 2-SAFETY SUPPLY</t>
  </si>
  <si>
    <t>68</t>
  </si>
  <si>
    <t>CONEX 1-SAFETY SUPPLY</t>
  </si>
  <si>
    <t>67</t>
  </si>
  <si>
    <t>THROWING SPORTS CONTAINER</t>
  </si>
  <si>
    <t>250</t>
  </si>
  <si>
    <t>HG CONTAINER #14</t>
  </si>
  <si>
    <t>249</t>
  </si>
  <si>
    <t>HG CONTAINER #13</t>
  </si>
  <si>
    <t>248</t>
  </si>
  <si>
    <t>HG CONTAINER #12</t>
  </si>
  <si>
    <t>247</t>
  </si>
  <si>
    <t>HG CONTAINER #11</t>
  </si>
  <si>
    <t>HG CONTAINER #10</t>
  </si>
  <si>
    <t>HG CONTAINER #9</t>
  </si>
  <si>
    <t>HG CONTAINER #8</t>
  </si>
  <si>
    <t>HG CONTAINER #7</t>
  </si>
  <si>
    <t>HG CONTAINER #6</t>
  </si>
  <si>
    <t>HG CONTAINER #5</t>
  </si>
  <si>
    <t>HG CONTAINER #4</t>
  </si>
  <si>
    <t>HG CONTAINER #3</t>
  </si>
  <si>
    <t>HG CONTAINER #2</t>
  </si>
  <si>
    <t>HG CONTAINER #1</t>
  </si>
  <si>
    <t>LOVEKIN COMPLEX #03 - 29</t>
  </si>
  <si>
    <t>VIEWPOINTS - 9</t>
  </si>
  <si>
    <t>Construction</t>
  </si>
  <si>
    <t>Bldg#</t>
  </si>
  <si>
    <t>Building Summary Report (12/10/2025)</t>
  </si>
  <si>
    <t>DO</t>
  </si>
  <si>
    <t>Ben Clark</t>
  </si>
  <si>
    <t xml:space="preserve">ASF </t>
  </si>
  <si>
    <t xml:space="preserve">Updated 12/10/2025 JJD.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</si>
</sst>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0"/>
    <numFmt numFmtId="165" formatCode="_(* #,##0_);_(* \(#,##0\);_(* &quot;-&quot;??_);_(@_)"/>
    <numFmt numFmtId="166" formatCode="0.0"/>
    <numFmt numFmtId="167" formatCode="0.0_);[Red]\(0.0\)"/>
    <numFmt numFmtId="168" formatCode="0.0%"/>
    <numFmt numFmtId="169" formatCode="_(&quot;$&quot;* #,##0_);_(&quot;$&quot;* \(#,##0\);_(&quot;$&quot;* &quot;-&quot;??_);_(@_)"/>
    <numFmt numFmtId="170" formatCode="_(&quot;Cr$&quot;* #,##0_);_(&quot;Cr$&quot;* \(#,##0\);_(&quot;Cr$&quot;* &quot;-&quot;_);_(@_)"/>
    <numFmt numFmtId="171" formatCode="_(&quot;Cr$&quot;* #,##0.00_);_(&quot;Cr$&quot;* \(#,##0.00\);_(&quot;Cr$&quot;* &quot;-&quot;??_);_(@_)"/>
    <numFmt numFmtId="172" formatCode="_(* #,##0.0000_);_(* \(#,##0.0000\);_(* &quot;-&quot;??_);_(@_)"/>
    <numFmt numFmtId="173" formatCode="#0000"/>
    <numFmt numFmtId="174" formatCode="#0"/>
    <numFmt numFmtId="175" formatCode="0.0000"/>
    <numFmt numFmtId="176" formatCode="0.000%"/>
    <numFmt numFmtId="177" formatCode="_([$$-409]* #,##0.00_);_([$$-409]* \(#,##0.00\);_([$$-409]* &quot;-&quot;??_);_(@_)"/>
    <numFmt numFmtId="178" formatCode="_([$$-409]* #,##0.0000_);_([$$-409]* \(#,##0.0000\);_([$$-409]* &quot;-&quot;??_);_(@_)"/>
  </numFmts>
  <fonts count="129" x14ac:knownFonts="1">
    <font>
      <sz val="10"/>
      <name val="Arial"/>
    </font>
    <font>
      <sz val="11"/>
      <color theme="1"/>
      <name val="Calibri"/>
      <family val="2"/>
      <scheme val="minor"/>
    </font>
    <font>
      <sz val="10"/>
      <name val="Arial"/>
      <family val="2"/>
    </font>
    <font>
      <sz val="8"/>
      <name val="Arial"/>
      <family val="2"/>
    </font>
    <font>
      <b/>
      <sz val="18"/>
      <name val="Arial"/>
      <family val="2"/>
    </font>
    <font>
      <b/>
      <sz val="12"/>
      <name val="Arial"/>
      <family val="2"/>
    </font>
    <font>
      <b/>
      <sz val="10"/>
      <name val="Arial"/>
      <family val="2"/>
    </font>
    <font>
      <sz val="10"/>
      <name val="Arial"/>
      <family val="2"/>
    </font>
    <font>
      <sz val="11"/>
      <color indexed="8"/>
      <name val="Calibri"/>
      <family val="2"/>
    </font>
    <font>
      <b/>
      <sz val="11"/>
      <name val="Times New Roman"/>
      <family val="1"/>
    </font>
    <font>
      <sz val="10"/>
      <name val="Times New Roman"/>
      <family val="1"/>
    </font>
    <font>
      <b/>
      <sz val="10"/>
      <color indexed="12"/>
      <name val="Times New Roman"/>
      <family val="1"/>
    </font>
    <font>
      <b/>
      <sz val="10"/>
      <name val="Times New Roman"/>
      <family val="1"/>
    </font>
    <font>
      <b/>
      <u/>
      <sz val="10"/>
      <name val="Times New Roman"/>
      <family val="1"/>
    </font>
    <font>
      <sz val="10"/>
      <color indexed="60"/>
      <name val="Times New Roman"/>
      <family val="1"/>
    </font>
    <font>
      <b/>
      <sz val="9"/>
      <color indexed="81"/>
      <name val="Tahoma"/>
      <family val="2"/>
    </font>
    <font>
      <sz val="9"/>
      <color indexed="81"/>
      <name val="Tahoma"/>
      <family val="2"/>
    </font>
    <font>
      <b/>
      <sz val="8"/>
      <color indexed="81"/>
      <name val="Tahoma"/>
      <family val="2"/>
    </font>
    <font>
      <sz val="12"/>
      <name val="Times New Roman"/>
      <family val="1"/>
    </font>
    <font>
      <u val="singleAccounting"/>
      <sz val="12"/>
      <name val="Times New Roman"/>
      <family val="1"/>
    </font>
    <font>
      <b/>
      <sz val="12"/>
      <name val="Times New Roman"/>
      <family val="1"/>
    </font>
    <font>
      <b/>
      <u val="doubleAccounting"/>
      <sz val="12"/>
      <name val="Times New Roman"/>
      <family val="1"/>
    </font>
    <font>
      <sz val="12"/>
      <name val="Calibri"/>
      <family val="2"/>
    </font>
    <font>
      <b/>
      <sz val="10"/>
      <color indexed="8"/>
      <name val="Arial"/>
      <family val="2"/>
    </font>
    <font>
      <b/>
      <sz val="14"/>
      <name val="Calibri"/>
      <family val="2"/>
    </font>
    <font>
      <sz val="10"/>
      <name val="Calibri"/>
      <family val="2"/>
    </font>
    <font>
      <b/>
      <sz val="10"/>
      <name val="Calibri"/>
      <family val="2"/>
    </font>
    <font>
      <b/>
      <sz val="12"/>
      <name val="Calibri"/>
      <family val="2"/>
    </font>
    <font>
      <b/>
      <sz val="16"/>
      <name val="Calibri"/>
      <family val="2"/>
    </font>
    <font>
      <b/>
      <i/>
      <sz val="14"/>
      <name val="Calibri"/>
      <family val="2"/>
    </font>
    <font>
      <b/>
      <i/>
      <sz val="12"/>
      <name val="Calibri"/>
      <family val="2"/>
    </font>
    <font>
      <sz val="12"/>
      <color indexed="56"/>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sz val="11"/>
      <color indexed="19"/>
      <name val="Calibri"/>
      <family val="2"/>
    </font>
    <font>
      <sz val="12"/>
      <name val="Helv"/>
    </font>
    <font>
      <b/>
      <sz val="11"/>
      <color indexed="63"/>
      <name val="Calibri"/>
      <family val="2"/>
    </font>
    <font>
      <b/>
      <sz val="18"/>
      <color indexed="62"/>
      <name val="Cambria"/>
      <family val="2"/>
    </font>
    <font>
      <b/>
      <sz val="11"/>
      <color indexed="8"/>
      <name val="Calibri"/>
      <family val="2"/>
    </font>
    <font>
      <sz val="10"/>
      <name val="Times New Roman"/>
      <family val="1"/>
      <charset val="204"/>
    </font>
    <font>
      <b/>
      <i/>
      <sz val="12"/>
      <color indexed="56"/>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0"/>
      <color rgb="FF000000"/>
      <name val="Times New Roman"/>
      <family val="1"/>
    </font>
    <font>
      <sz val="11"/>
      <color indexed="8"/>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0"/>
      <color rgb="FFFF0000"/>
      <name val="Times New Roman"/>
      <family val="1"/>
    </font>
    <font>
      <b/>
      <i/>
      <u/>
      <sz val="14"/>
      <color rgb="FF1F497D"/>
      <name val="Calibri"/>
      <family val="2"/>
    </font>
    <font>
      <sz val="12"/>
      <color rgb="FF1F497D"/>
      <name val="Calibri"/>
      <family val="2"/>
    </font>
    <font>
      <sz val="12"/>
      <color rgb="FF000000"/>
      <name val="Calibri"/>
      <family val="2"/>
    </font>
    <font>
      <u val="singleAccounting"/>
      <sz val="12"/>
      <color rgb="FF1F497D"/>
      <name val="Calibri"/>
      <family val="2"/>
    </font>
    <font>
      <sz val="10"/>
      <name val="Calibri"/>
      <family val="2"/>
      <scheme val="minor"/>
    </font>
    <font>
      <b/>
      <sz val="10"/>
      <name val="Calibri"/>
      <family val="2"/>
      <scheme val="minor"/>
    </font>
    <font>
      <b/>
      <sz val="12"/>
      <name val="Calibri"/>
      <family val="2"/>
      <scheme val="minor"/>
    </font>
    <font>
      <sz val="12"/>
      <name val="Calibri"/>
      <family val="2"/>
      <scheme val="minor"/>
    </font>
    <font>
      <b/>
      <u val="doubleAccounting"/>
      <sz val="12"/>
      <name val="Calibri"/>
      <family val="2"/>
      <scheme val="minor"/>
    </font>
    <font>
      <sz val="10"/>
      <color rgb="FF000000"/>
      <name val="Calibri"/>
      <family val="2"/>
    </font>
    <font>
      <b/>
      <sz val="16"/>
      <name val="Calibri"/>
      <family val="2"/>
      <scheme val="minor"/>
    </font>
    <font>
      <b/>
      <u/>
      <sz val="11"/>
      <color theme="1"/>
      <name val="Calibri"/>
      <family val="2"/>
      <scheme val="minor"/>
    </font>
    <font>
      <i/>
      <sz val="11"/>
      <color theme="1"/>
      <name val="Calibri"/>
      <family val="2"/>
      <scheme val="minor"/>
    </font>
    <font>
      <b/>
      <sz val="12"/>
      <color rgb="FF1F497D"/>
      <name val="Calibri"/>
      <family val="2"/>
    </font>
    <font>
      <b/>
      <i/>
      <u/>
      <sz val="10"/>
      <color rgb="FF1F497D"/>
      <name val="Calibri"/>
      <family val="2"/>
    </font>
    <font>
      <sz val="10"/>
      <color rgb="FF000000"/>
      <name val="Arial"/>
      <family val="2"/>
    </font>
    <font>
      <sz val="20"/>
      <color theme="1"/>
      <name val="Calibri"/>
      <family val="2"/>
      <scheme val="minor"/>
    </font>
    <font>
      <b/>
      <sz val="16"/>
      <color theme="1"/>
      <name val="Calibri"/>
      <family val="2"/>
      <scheme val="minor"/>
    </font>
    <font>
      <b/>
      <sz val="10"/>
      <color theme="9" tint="-0.499984740745262"/>
      <name val="Arial"/>
      <family val="2"/>
    </font>
    <font>
      <b/>
      <sz val="18"/>
      <color rgb="FFFF0000"/>
      <name val="Arial"/>
      <family val="2"/>
    </font>
    <font>
      <b/>
      <sz val="20"/>
      <color rgb="FFFF0000"/>
      <name val="Arial"/>
      <family val="2"/>
    </font>
    <font>
      <b/>
      <sz val="22"/>
      <color rgb="FFFF0000"/>
      <name val="Arial"/>
      <family val="2"/>
    </font>
    <font>
      <b/>
      <sz val="26"/>
      <color rgb="FFFF0000"/>
      <name val="Calibri"/>
      <family val="2"/>
    </font>
    <font>
      <b/>
      <sz val="11"/>
      <name val="Arial"/>
      <family val="2"/>
    </font>
    <font>
      <sz val="11"/>
      <color rgb="FF000000"/>
      <name val="Helvetica"/>
    </font>
    <font>
      <b/>
      <sz val="11"/>
      <color rgb="FF000000"/>
      <name val="Helvetica"/>
    </font>
    <font>
      <sz val="20"/>
      <color rgb="FFFF0000"/>
      <name val="Arial"/>
      <family val="2"/>
    </font>
    <font>
      <sz val="11"/>
      <name val="Calibri"/>
      <family val="2"/>
    </font>
    <font>
      <u/>
      <sz val="11"/>
      <name val="Calibri"/>
      <family val="2"/>
    </font>
    <font>
      <b/>
      <sz val="10"/>
      <color rgb="FFFF0000"/>
      <name val="Arial"/>
      <family val="2"/>
    </font>
    <font>
      <b/>
      <i/>
      <sz val="10"/>
      <color rgb="FFFF0000"/>
      <name val="Times New Roman"/>
      <family val="1"/>
    </font>
    <font>
      <b/>
      <i/>
      <sz val="14"/>
      <color rgb="FFFF0000"/>
      <name val="Calibri"/>
      <family val="2"/>
    </font>
    <font>
      <b/>
      <i/>
      <sz val="11"/>
      <name val="Calibri"/>
      <family val="2"/>
    </font>
    <font>
      <b/>
      <i/>
      <sz val="10"/>
      <color rgb="FFFF0000"/>
      <name val="Arial"/>
      <family val="2"/>
    </font>
    <font>
      <b/>
      <sz val="12"/>
      <color rgb="FFFF0000"/>
      <name val="Calibri"/>
      <family val="2"/>
    </font>
    <font>
      <b/>
      <sz val="12"/>
      <color rgb="FFFFFFFF"/>
      <name val="Calibri"/>
      <family val="2"/>
    </font>
    <font>
      <b/>
      <sz val="14"/>
      <color rgb="FFFFFFFF"/>
      <name val="Calibri"/>
      <family val="2"/>
    </font>
    <font>
      <b/>
      <i/>
      <sz val="14"/>
      <color rgb="FFFFFFFF"/>
      <name val="Calibri"/>
      <family val="2"/>
    </font>
    <font>
      <sz val="18"/>
      <name val="Calibri"/>
      <family val="2"/>
    </font>
    <font>
      <sz val="10"/>
      <color rgb="FFFF0000"/>
      <name val="Arial"/>
      <family val="2"/>
    </font>
    <font>
      <sz val="11"/>
      <name val="Arial"/>
      <family val="2"/>
    </font>
    <font>
      <sz val="14"/>
      <name val="Calibri"/>
      <family val="2"/>
    </font>
    <font>
      <b/>
      <sz val="10"/>
      <color rgb="FFFFFFFF"/>
      <name val="Arial"/>
      <family val="2"/>
    </font>
    <font>
      <b/>
      <sz val="11"/>
      <color rgb="FF444444"/>
      <name val="Calibri"/>
      <family val="2"/>
    </font>
    <font>
      <sz val="12"/>
      <name val="Calibri"/>
      <family val="2"/>
    </font>
    <font>
      <b/>
      <sz val="12"/>
      <color rgb="FF000000"/>
      <name val="Calibri"/>
      <family val="2"/>
    </font>
    <font>
      <b/>
      <sz val="14"/>
      <color rgb="FF000000"/>
      <name val="Calibri"/>
      <family val="2"/>
    </font>
    <font>
      <b/>
      <sz val="10"/>
      <color rgb="FF000000"/>
      <name val="Calibri"/>
      <family val="2"/>
    </font>
    <font>
      <b/>
      <sz val="18"/>
      <color theme="0"/>
      <name val="Calibri"/>
      <family val="2"/>
    </font>
    <font>
      <b/>
      <sz val="10"/>
      <color rgb="FF000000"/>
      <name val="Times New Roman"/>
      <family val="1"/>
    </font>
    <font>
      <sz val="8"/>
      <color theme="1"/>
      <name val="Arial"/>
      <family val="2"/>
    </font>
    <font>
      <sz val="10"/>
      <color rgb="FF000000"/>
      <name val="Calibri"/>
      <family val="2"/>
      <scheme val="minor"/>
    </font>
    <font>
      <b/>
      <sz val="10"/>
      <color rgb="FF000000"/>
      <name val="Calibri"/>
      <family val="2"/>
      <scheme val="minor"/>
    </font>
    <font>
      <b/>
      <sz val="10"/>
      <color rgb="FFFF0000"/>
      <name val="Calibri"/>
      <family val="2"/>
    </font>
    <font>
      <b/>
      <sz val="8"/>
      <color theme="1"/>
      <name val="Arial"/>
      <family val="2"/>
    </font>
    <font>
      <sz val="9.5"/>
      <name val="Arial"/>
      <family val="2"/>
    </font>
    <font>
      <sz val="9.5"/>
      <color rgb="FF000000"/>
      <name val="Arial"/>
      <family val="2"/>
    </font>
    <font>
      <sz val="10"/>
      <name val="Arial"/>
    </font>
    <font>
      <b/>
      <sz val="12"/>
      <color theme="1"/>
      <name val="Arial"/>
      <family val="2"/>
    </font>
  </fonts>
  <fills count="79">
    <fill>
      <patternFill patternType="none"/>
    </fill>
    <fill>
      <patternFill patternType="gray125"/>
    </fill>
    <fill>
      <patternFill patternType="solid">
        <fgColor indexed="44"/>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6"/>
      </patternFill>
    </fill>
    <fill>
      <patternFill patternType="solid">
        <fgColor indexed="10"/>
      </patternFill>
    </fill>
    <fill>
      <patternFill patternType="solid">
        <fgColor indexed="54"/>
      </patternFill>
    </fill>
    <fill>
      <patternFill patternType="solid">
        <fgColor indexed="22"/>
      </patternFill>
    </fill>
    <fill>
      <patternFill patternType="solid">
        <fgColor indexed="9"/>
      </patternFill>
    </fill>
    <fill>
      <patternFill patternType="solid">
        <fgColor indexed="55"/>
      </patternFill>
    </fill>
    <fill>
      <patternFill patternType="solid">
        <fgColor indexed="22"/>
        <bgColor indexed="64"/>
      </patternFill>
    </fill>
    <fill>
      <patternFill patternType="solid">
        <fgColor indexed="4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00"/>
        <bgColor indexed="64"/>
      </patternFill>
    </fill>
    <fill>
      <patternFill patternType="solid">
        <fgColor theme="5" tint="0.39997558519241921"/>
        <bgColor indexed="64"/>
      </patternFill>
    </fill>
    <fill>
      <patternFill patternType="solid">
        <fgColor theme="6" tint="0.39997558519241921"/>
        <bgColor indexed="64"/>
      </patternFill>
    </fill>
    <fill>
      <patternFill patternType="lightUp">
        <bgColor theme="0" tint="-0.24994659260841701"/>
      </patternFill>
    </fill>
    <fill>
      <patternFill patternType="solid">
        <fgColor theme="8" tint="0.39997558519241921"/>
        <bgColor indexed="64"/>
      </patternFill>
    </fill>
    <fill>
      <patternFill patternType="solid">
        <fgColor theme="9" tint="0.59999389629810485"/>
        <bgColor indexed="64"/>
      </patternFill>
    </fill>
    <fill>
      <patternFill patternType="solid">
        <fgColor rgb="FFFFFF99"/>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rgb="FF99BCCF"/>
      </patternFill>
    </fill>
    <fill>
      <patternFill patternType="solid">
        <fgColor theme="2"/>
        <bgColor indexed="64"/>
      </patternFill>
    </fill>
    <fill>
      <patternFill patternType="solid">
        <fgColor theme="8" tint="0.59999389629810485"/>
        <bgColor indexed="64"/>
      </patternFill>
    </fill>
    <fill>
      <patternFill patternType="solid">
        <fgColor rgb="FFFF0000"/>
        <bgColor indexed="64"/>
      </patternFill>
    </fill>
    <fill>
      <patternFill patternType="solid">
        <fgColor rgb="FFF8CBAD"/>
        <bgColor indexed="64"/>
      </patternFill>
    </fill>
    <fill>
      <patternFill patternType="solid">
        <fgColor rgb="FFE7E6E6"/>
        <bgColor indexed="64"/>
      </patternFill>
    </fill>
    <fill>
      <patternFill patternType="solid">
        <fgColor rgb="FFBF8F00"/>
        <bgColor indexed="64"/>
      </patternFill>
    </fill>
    <fill>
      <patternFill patternType="solid">
        <fgColor rgb="FFC00000"/>
        <bgColor indexed="64"/>
      </patternFill>
    </fill>
    <fill>
      <patternFill patternType="solid">
        <fgColor rgb="FF000080"/>
        <bgColor rgb="FF000000"/>
      </patternFill>
    </fill>
    <fill>
      <patternFill patternType="solid">
        <fgColor rgb="FF92D050"/>
        <bgColor indexed="64"/>
      </patternFill>
    </fill>
    <fill>
      <patternFill patternType="solid">
        <fgColor theme="0"/>
        <bgColor indexed="64"/>
      </patternFill>
    </fill>
    <fill>
      <patternFill patternType="solid">
        <fgColor theme="8"/>
        <bgColor indexed="64"/>
      </patternFill>
    </fill>
    <fill>
      <patternFill patternType="solid">
        <fgColor theme="7"/>
        <bgColor indexed="64"/>
      </patternFill>
    </fill>
    <fill>
      <patternFill patternType="solid">
        <fgColor theme="9"/>
        <bgColor indexed="64"/>
      </patternFill>
    </fill>
    <fill>
      <patternFill patternType="solid">
        <fgColor theme="6"/>
        <bgColor indexed="64"/>
      </patternFill>
    </fill>
  </fills>
  <borders count="7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8"/>
      </top>
      <bottom/>
      <diagonal/>
    </border>
    <border>
      <left/>
      <right/>
      <top style="thin">
        <color indexed="56"/>
      </top>
      <bottom style="double">
        <color indexed="56"/>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bottom style="medium">
        <color indexed="64"/>
      </bottom>
      <diagonal/>
    </border>
    <border>
      <left/>
      <right/>
      <top style="medium">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000000"/>
      </left>
      <right style="thin">
        <color rgb="FF000000"/>
      </right>
      <top style="thin">
        <color rgb="FF000000"/>
      </top>
      <bottom style="thin">
        <color rgb="FF000000"/>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double">
        <color auto="1"/>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top/>
      <bottom/>
      <diagonal/>
    </border>
    <border>
      <left/>
      <right style="medium">
        <color rgb="FF000000"/>
      </right>
      <top/>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right/>
      <top style="thin">
        <color indexed="64"/>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style="medium">
        <color indexed="64"/>
      </bottom>
      <diagonal/>
    </border>
  </borders>
  <cellStyleXfs count="120">
    <xf numFmtId="0" fontId="0" fillId="0" borderId="0"/>
    <xf numFmtId="0" fontId="50" fillId="21" borderId="0" applyNumberFormat="0" applyBorder="0" applyAlignment="0" applyProtection="0"/>
    <xf numFmtId="0" fontId="8" fillId="2" borderId="0" applyNumberFormat="0" applyBorder="0" applyAlignment="0" applyProtection="0"/>
    <xf numFmtId="0" fontId="50" fillId="22" borderId="0" applyNumberFormat="0" applyBorder="0" applyAlignment="0" applyProtection="0"/>
    <xf numFmtId="0" fontId="8" fillId="4" borderId="0" applyNumberFormat="0" applyBorder="0" applyAlignment="0" applyProtection="0"/>
    <xf numFmtId="0" fontId="50" fillId="23" borderId="0" applyNumberFormat="0" applyBorder="0" applyAlignment="0" applyProtection="0"/>
    <xf numFmtId="0" fontId="8" fillId="5" borderId="0" applyNumberFormat="0" applyBorder="0" applyAlignment="0" applyProtection="0"/>
    <xf numFmtId="0" fontId="50" fillId="24" borderId="0" applyNumberFormat="0" applyBorder="0" applyAlignment="0" applyProtection="0"/>
    <xf numFmtId="0" fontId="8" fillId="7" borderId="0" applyNumberFormat="0" applyBorder="0" applyAlignment="0" applyProtection="0"/>
    <xf numFmtId="0" fontId="50" fillId="25" borderId="0" applyNumberFormat="0" applyBorder="0" applyAlignment="0" applyProtection="0"/>
    <xf numFmtId="0" fontId="8" fillId="8" borderId="0" applyNumberFormat="0" applyBorder="0" applyAlignment="0" applyProtection="0"/>
    <xf numFmtId="0" fontId="50" fillId="26" borderId="0" applyNumberFormat="0" applyBorder="0" applyAlignment="0" applyProtection="0"/>
    <xf numFmtId="0" fontId="8" fillId="5" borderId="0" applyNumberFormat="0" applyBorder="0" applyAlignment="0" applyProtection="0"/>
    <xf numFmtId="0" fontId="50" fillId="27" borderId="0" applyNumberFormat="0" applyBorder="0" applyAlignment="0" applyProtection="0"/>
    <xf numFmtId="0" fontId="8" fillId="8" borderId="0" applyNumberFormat="0" applyBorder="0" applyAlignment="0" applyProtection="0"/>
    <xf numFmtId="0" fontId="50" fillId="28" borderId="0" applyNumberFormat="0" applyBorder="0" applyAlignment="0" applyProtection="0"/>
    <xf numFmtId="0" fontId="8" fillId="4" borderId="0" applyNumberFormat="0" applyBorder="0" applyAlignment="0" applyProtection="0"/>
    <xf numFmtId="0" fontId="50" fillId="29" borderId="0" applyNumberFormat="0" applyBorder="0" applyAlignment="0" applyProtection="0"/>
    <xf numFmtId="0" fontId="8" fillId="9" borderId="0" applyNumberFormat="0" applyBorder="0" applyAlignment="0" applyProtection="0"/>
    <xf numFmtId="0" fontId="50" fillId="30" borderId="0" applyNumberFormat="0" applyBorder="0" applyAlignment="0" applyProtection="0"/>
    <xf numFmtId="0" fontId="8" fillId="3" borderId="0" applyNumberFormat="0" applyBorder="0" applyAlignment="0" applyProtection="0"/>
    <xf numFmtId="0" fontId="50" fillId="31" borderId="0" applyNumberFormat="0" applyBorder="0" applyAlignment="0" applyProtection="0"/>
    <xf numFmtId="0" fontId="8" fillId="8" borderId="0" applyNumberFormat="0" applyBorder="0" applyAlignment="0" applyProtection="0"/>
    <xf numFmtId="0" fontId="50" fillId="32" borderId="0" applyNumberFormat="0" applyBorder="0" applyAlignment="0" applyProtection="0"/>
    <xf numFmtId="0" fontId="8" fillId="5" borderId="0" applyNumberFormat="0" applyBorder="0" applyAlignment="0" applyProtection="0"/>
    <xf numFmtId="0" fontId="51" fillId="33" borderId="0" applyNumberFormat="0" applyBorder="0" applyAlignment="0" applyProtection="0"/>
    <xf numFmtId="0" fontId="32" fillId="8" borderId="0" applyNumberFormat="0" applyBorder="0" applyAlignment="0" applyProtection="0"/>
    <xf numFmtId="0" fontId="51" fillId="34" borderId="0" applyNumberFormat="0" applyBorder="0" applyAlignment="0" applyProtection="0"/>
    <xf numFmtId="0" fontId="32" fillId="11" borderId="0" applyNumberFormat="0" applyBorder="0" applyAlignment="0" applyProtection="0"/>
    <xf numFmtId="0" fontId="51" fillId="35" borderId="0" applyNumberFormat="0" applyBorder="0" applyAlignment="0" applyProtection="0"/>
    <xf numFmtId="0" fontId="32" fillId="10" borderId="0" applyNumberFormat="0" applyBorder="0" applyAlignment="0" applyProtection="0"/>
    <xf numFmtId="0" fontId="51" fillId="36" borderId="0" applyNumberFormat="0" applyBorder="0" applyAlignment="0" applyProtection="0"/>
    <xf numFmtId="0" fontId="32" fillId="3" borderId="0" applyNumberFormat="0" applyBorder="0" applyAlignment="0" applyProtection="0"/>
    <xf numFmtId="0" fontId="51" fillId="37" borderId="0" applyNumberFormat="0" applyBorder="0" applyAlignment="0" applyProtection="0"/>
    <xf numFmtId="0" fontId="32" fillId="8" borderId="0" applyNumberFormat="0" applyBorder="0" applyAlignment="0" applyProtection="0"/>
    <xf numFmtId="0" fontId="51" fillId="38" borderId="0" applyNumberFormat="0" applyBorder="0" applyAlignment="0" applyProtection="0"/>
    <xf numFmtId="0" fontId="32" fillId="4" borderId="0" applyNumberFormat="0" applyBorder="0" applyAlignment="0" applyProtection="0"/>
    <xf numFmtId="0" fontId="51" fillId="39" borderId="0" applyNumberFormat="0" applyBorder="0" applyAlignment="0" applyProtection="0"/>
    <xf numFmtId="0" fontId="32" fillId="13" borderId="0" applyNumberFormat="0" applyBorder="0" applyAlignment="0" applyProtection="0"/>
    <xf numFmtId="0" fontId="51" fillId="40" borderId="0" applyNumberFormat="0" applyBorder="0" applyAlignment="0" applyProtection="0"/>
    <xf numFmtId="0" fontId="32" fillId="11" borderId="0" applyNumberFormat="0" applyBorder="0" applyAlignment="0" applyProtection="0"/>
    <xf numFmtId="0" fontId="51" fillId="41" borderId="0" applyNumberFormat="0" applyBorder="0" applyAlignment="0" applyProtection="0"/>
    <xf numFmtId="0" fontId="32" fillId="10" borderId="0" applyNumberFormat="0" applyBorder="0" applyAlignment="0" applyProtection="0"/>
    <xf numFmtId="0" fontId="51" fillId="42" borderId="0" applyNumberFormat="0" applyBorder="0" applyAlignment="0" applyProtection="0"/>
    <xf numFmtId="0" fontId="32" fillId="15" borderId="0" applyNumberFormat="0" applyBorder="0" applyAlignment="0" applyProtection="0"/>
    <xf numFmtId="0" fontId="51" fillId="43" borderId="0" applyNumberFormat="0" applyBorder="0" applyAlignment="0" applyProtection="0"/>
    <xf numFmtId="0" fontId="32" fillId="12" borderId="0" applyNumberFormat="0" applyBorder="0" applyAlignment="0" applyProtection="0"/>
    <xf numFmtId="0" fontId="51" fillId="44" borderId="0" applyNumberFormat="0" applyBorder="0" applyAlignment="0" applyProtection="0"/>
    <xf numFmtId="0" fontId="32" fillId="14" borderId="0" applyNumberFormat="0" applyBorder="0" applyAlignment="0" applyProtection="0"/>
    <xf numFmtId="0" fontId="52" fillId="45" borderId="0" applyNumberFormat="0" applyBorder="0" applyAlignment="0" applyProtection="0"/>
    <xf numFmtId="0" fontId="33" fillId="6" borderId="0" applyNumberFormat="0" applyBorder="0" applyAlignment="0" applyProtection="0"/>
    <xf numFmtId="0" fontId="53" fillId="46" borderId="37" applyNumberFormat="0" applyAlignment="0" applyProtection="0"/>
    <xf numFmtId="0" fontId="34" fillId="17" borderId="1" applyNumberFormat="0" applyAlignment="0" applyProtection="0"/>
    <xf numFmtId="0" fontId="54" fillId="47" borderId="38" applyNumberFormat="0" applyAlignment="0" applyProtection="0"/>
    <xf numFmtId="0" fontId="35" fillId="18" borderId="2" applyNumberFormat="0" applyAlignment="0" applyProtection="0"/>
    <xf numFmtId="43" fontId="2" fillId="0" borderId="0" applyFont="0" applyFill="0" applyBorder="0" applyAlignment="0" applyProtection="0"/>
    <xf numFmtId="43" fontId="8" fillId="0" borderId="0" applyFont="0" applyFill="0" applyBorder="0" applyAlignment="0" applyProtection="0"/>
    <xf numFmtId="43" fontId="50" fillId="0" borderId="0" applyFont="0" applyFill="0" applyBorder="0" applyAlignment="0" applyProtection="0"/>
    <xf numFmtId="43" fontId="48" fillId="0" borderId="0" applyFont="0" applyFill="0" applyBorder="0" applyAlignment="0" applyProtection="0">
      <alignment vertical="top" wrapText="1"/>
    </xf>
    <xf numFmtId="43" fontId="7" fillId="0" borderId="0" applyFont="0" applyFill="0" applyBorder="0" applyAlignment="0" applyProtection="0"/>
    <xf numFmtId="43" fontId="50" fillId="0" borderId="0" applyFont="0" applyFill="0" applyBorder="0" applyAlignment="0" applyProtection="0"/>
    <xf numFmtId="3" fontId="2" fillId="0" borderId="0" applyFont="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5" fontId="2" fillId="0" borderId="0" applyFont="0" applyFill="0" applyBorder="0" applyAlignment="0" applyProtection="0"/>
    <xf numFmtId="0" fontId="2" fillId="0" borderId="0" applyFont="0" applyFill="0" applyBorder="0" applyAlignment="0" applyProtection="0"/>
    <xf numFmtId="0" fontId="55" fillId="0" borderId="0" applyNumberFormat="0" applyFill="0" applyBorder="0" applyAlignment="0" applyProtection="0"/>
    <xf numFmtId="0" fontId="36" fillId="0" borderId="0" applyNumberFormat="0" applyFill="0" applyBorder="0" applyAlignment="0" applyProtection="0"/>
    <xf numFmtId="2" fontId="2" fillId="0" borderId="0" applyFont="0" applyFill="0" applyBorder="0" applyAlignment="0" applyProtection="0"/>
    <xf numFmtId="0" fontId="56" fillId="48" borderId="0" applyNumberFormat="0" applyBorder="0" applyAlignment="0" applyProtection="0"/>
    <xf numFmtId="0" fontId="37" fillId="8" borderId="0" applyNumberFormat="0" applyBorder="0" applyAlignment="0" applyProtection="0"/>
    <xf numFmtId="0" fontId="4" fillId="0" borderId="0" applyNumberFormat="0" applyFill="0" applyBorder="0" applyAlignment="0" applyProtection="0"/>
    <xf numFmtId="0" fontId="38" fillId="0" borderId="3" applyNumberFormat="0" applyFill="0" applyAlignment="0" applyProtection="0"/>
    <xf numFmtId="0" fontId="57" fillId="0" borderId="39" applyNumberFormat="0" applyFill="0" applyAlignment="0" applyProtection="0"/>
    <xf numFmtId="0" fontId="5" fillId="0" borderId="0" applyNumberFormat="0" applyFill="0" applyBorder="0" applyAlignment="0" applyProtection="0"/>
    <xf numFmtId="0" fontId="39" fillId="0" borderId="4" applyNumberFormat="0" applyFill="0" applyAlignment="0" applyProtection="0"/>
    <xf numFmtId="0" fontId="58" fillId="0" borderId="40" applyNumberFormat="0" applyFill="0" applyAlignment="0" applyProtection="0"/>
    <xf numFmtId="0" fontId="59" fillId="0" borderId="41" applyNumberFormat="0" applyFill="0" applyAlignment="0" applyProtection="0"/>
    <xf numFmtId="0" fontId="40" fillId="0" borderId="5" applyNumberFormat="0" applyFill="0" applyAlignment="0" applyProtection="0"/>
    <xf numFmtId="0" fontId="59" fillId="0" borderId="0" applyNumberFormat="0" applyFill="0" applyBorder="0" applyAlignment="0" applyProtection="0"/>
    <xf numFmtId="0" fontId="40"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0" fillId="49" borderId="37" applyNumberFormat="0" applyAlignment="0" applyProtection="0"/>
    <xf numFmtId="0" fontId="41" fillId="9" borderId="1" applyNumberFormat="0" applyAlignment="0" applyProtection="0"/>
    <xf numFmtId="0" fontId="61" fillId="0" borderId="42" applyNumberFormat="0" applyFill="0" applyAlignment="0" applyProtection="0"/>
    <xf numFmtId="0" fontId="42" fillId="0" borderId="6" applyNumberFormat="0" applyFill="0" applyAlignment="0" applyProtection="0"/>
    <xf numFmtId="170" fontId="2" fillId="0" borderId="0" applyFont="0" applyFill="0" applyBorder="0" applyAlignment="0" applyProtection="0"/>
    <xf numFmtId="171" fontId="2" fillId="0" borderId="0" applyFont="0" applyFill="0" applyBorder="0" applyAlignment="0" applyProtection="0"/>
    <xf numFmtId="0" fontId="62" fillId="50" borderId="0" applyNumberFormat="0" applyBorder="0" applyAlignment="0" applyProtection="0"/>
    <xf numFmtId="0" fontId="43" fillId="9" borderId="0" applyNumberFormat="0" applyBorder="0" applyAlignment="0" applyProtection="0"/>
    <xf numFmtId="0" fontId="7" fillId="0" borderId="0"/>
    <xf numFmtId="0" fontId="2" fillId="0" borderId="0"/>
    <xf numFmtId="0" fontId="48" fillId="0" borderId="0" applyNumberFormat="0" applyFill="0" applyBorder="0" applyProtection="0">
      <alignment vertical="top" wrapText="1"/>
    </xf>
    <xf numFmtId="0" fontId="50" fillId="0" borderId="0"/>
    <xf numFmtId="0" fontId="63" fillId="0" borderId="0"/>
    <xf numFmtId="0" fontId="63" fillId="0" borderId="0"/>
    <xf numFmtId="0" fontId="50" fillId="0" borderId="0"/>
    <xf numFmtId="0" fontId="64" fillId="0" borderId="0"/>
    <xf numFmtId="0" fontId="44" fillId="5" borderId="7" applyNumberFormat="0" applyFont="0" applyAlignment="0" applyProtection="0"/>
    <xf numFmtId="0" fontId="50" fillId="51" borderId="43" applyNumberFormat="0" applyFont="0" applyAlignment="0" applyProtection="0"/>
    <xf numFmtId="0" fontId="65" fillId="46" borderId="44" applyNumberFormat="0" applyAlignment="0" applyProtection="0"/>
    <xf numFmtId="0" fontId="45" fillId="17" borderId="8" applyNumberFormat="0" applyAlignment="0" applyProtection="0"/>
    <xf numFmtId="9" fontId="2" fillId="0" borderId="0" applyFont="0" applyFill="0" applyBorder="0" applyAlignment="0" applyProtection="0"/>
    <xf numFmtId="0" fontId="66" fillId="0" borderId="0" applyNumberFormat="0" applyFill="0" applyBorder="0" applyAlignment="0" applyProtection="0"/>
    <xf numFmtId="0" fontId="46" fillId="0" borderId="0" applyNumberFormat="0" applyFill="0" applyBorder="0" applyAlignment="0" applyProtection="0"/>
    <xf numFmtId="0" fontId="2" fillId="0" borderId="9" applyNumberFormat="0" applyFont="0" applyFill="0" applyAlignment="0" applyProtection="0"/>
    <xf numFmtId="0" fontId="47" fillId="0" borderId="10" applyNumberFormat="0" applyFill="0" applyAlignment="0" applyProtection="0"/>
    <xf numFmtId="0" fontId="67" fillId="0" borderId="45" applyNumberFormat="0" applyFill="0" applyAlignment="0" applyProtection="0"/>
    <xf numFmtId="0" fontId="68" fillId="0" borderId="0" applyNumberFormat="0" applyFill="0" applyBorder="0" applyAlignment="0" applyProtection="0"/>
    <xf numFmtId="0" fontId="42" fillId="0" borderId="0" applyNumberFormat="0" applyFill="0" applyBorder="0" applyAlignment="0" applyProtection="0"/>
    <xf numFmtId="43" fontId="64" fillId="0" borderId="0" applyFont="0" applyFill="0" applyBorder="0" applyAlignment="0" applyProtection="0"/>
    <xf numFmtId="0" fontId="22" fillId="0" borderId="0"/>
    <xf numFmtId="43" fontId="22" fillId="0" borderId="0" applyFont="0" applyFill="0" applyBorder="0" applyAlignment="0" applyProtection="0"/>
    <xf numFmtId="0" fontId="114" fillId="0" borderId="0"/>
    <xf numFmtId="9" fontId="2" fillId="0" borderId="0" applyFont="0" applyFill="0" applyBorder="0" applyAlignment="0" applyProtection="0"/>
    <xf numFmtId="0" fontId="63" fillId="0" borderId="0"/>
    <xf numFmtId="44" fontId="127" fillId="0" borderId="0" applyFont="0" applyFill="0" applyBorder="0" applyAlignment="0" applyProtection="0"/>
    <xf numFmtId="0" fontId="1" fillId="0" borderId="0"/>
    <xf numFmtId="9" fontId="1" fillId="0" borderId="0" applyFont="0" applyFill="0" applyBorder="0" applyAlignment="0" applyProtection="0"/>
  </cellStyleXfs>
  <cellXfs count="517">
    <xf numFmtId="0" fontId="0" fillId="0" borderId="0" xfId="0"/>
    <xf numFmtId="166" fontId="10" fillId="0" borderId="0" xfId="55" applyNumberFormat="1" applyFont="1" applyFill="1" applyBorder="1" applyAlignment="1">
      <alignment horizontal="center"/>
    </xf>
    <xf numFmtId="166" fontId="10" fillId="0" borderId="0" xfId="55" applyNumberFormat="1" applyFont="1" applyBorder="1" applyAlignment="1">
      <alignment horizontal="center"/>
    </xf>
    <xf numFmtId="166" fontId="10" fillId="0" borderId="17" xfId="55" applyNumberFormat="1" applyFont="1" applyFill="1" applyBorder="1" applyAlignment="1">
      <alignment horizontal="center"/>
    </xf>
    <xf numFmtId="166" fontId="10" fillId="0" borderId="17" xfId="55" applyNumberFormat="1" applyFont="1" applyBorder="1" applyAlignment="1">
      <alignment horizontal="center"/>
    </xf>
    <xf numFmtId="166" fontId="10" fillId="0" borderId="16" xfId="55" applyNumberFormat="1" applyFont="1" applyFill="1" applyBorder="1" applyAlignment="1">
      <alignment horizontal="center"/>
    </xf>
    <xf numFmtId="166" fontId="10" fillId="0" borderId="16" xfId="55" applyNumberFormat="1" applyFont="1" applyBorder="1" applyAlignment="1">
      <alignment horizontal="center"/>
    </xf>
    <xf numFmtId="166" fontId="10" fillId="0" borderId="15" xfId="55" applyNumberFormat="1" applyFont="1" applyFill="1" applyBorder="1" applyAlignment="1">
      <alignment horizontal="center"/>
    </xf>
    <xf numFmtId="166" fontId="10" fillId="0" borderId="15" xfId="55" applyNumberFormat="1" applyFont="1" applyBorder="1" applyAlignment="1">
      <alignment horizontal="center"/>
    </xf>
    <xf numFmtId="167" fontId="10" fillId="0" borderId="16" xfId="55" applyNumberFormat="1" applyFont="1" applyBorder="1" applyAlignment="1">
      <alignment horizontal="center"/>
    </xf>
    <xf numFmtId="167" fontId="10" fillId="0" borderId="15" xfId="55" applyNumberFormat="1" applyFont="1" applyBorder="1" applyAlignment="1">
      <alignment horizontal="center"/>
    </xf>
    <xf numFmtId="166" fontId="12" fillId="0" borderId="16" xfId="55" applyNumberFormat="1" applyFont="1" applyFill="1" applyBorder="1" applyAlignment="1">
      <alignment horizontal="center"/>
    </xf>
    <xf numFmtId="166" fontId="12" fillId="0" borderId="16" xfId="55" applyNumberFormat="1" applyFont="1" applyBorder="1" applyAlignment="1">
      <alignment horizontal="center"/>
    </xf>
    <xf numFmtId="167" fontId="12" fillId="0" borderId="16" xfId="55" applyNumberFormat="1" applyFont="1" applyBorder="1" applyAlignment="1">
      <alignment horizontal="center"/>
    </xf>
    <xf numFmtId="168" fontId="69" fillId="0" borderId="0" xfId="103" applyNumberFormat="1" applyFont="1" applyBorder="1"/>
    <xf numFmtId="168" fontId="69" fillId="0" borderId="0" xfId="103" applyNumberFormat="1" applyFont="1" applyFill="1" applyBorder="1"/>
    <xf numFmtId="165" fontId="10" fillId="0" borderId="18" xfId="55" applyNumberFormat="1" applyFont="1" applyFill="1" applyBorder="1"/>
    <xf numFmtId="165" fontId="10" fillId="0" borderId="15" xfId="55" applyNumberFormat="1" applyFont="1" applyFill="1" applyBorder="1"/>
    <xf numFmtId="165" fontId="0" fillId="0" borderId="0" xfId="55" applyNumberFormat="1" applyFont="1"/>
    <xf numFmtId="165" fontId="0" fillId="0" borderId="0" xfId="0" applyNumberFormat="1"/>
    <xf numFmtId="0" fontId="18" fillId="0" borderId="0" xfId="0" applyFont="1" applyAlignment="1">
      <alignment wrapText="1"/>
    </xf>
    <xf numFmtId="10" fontId="18" fillId="0" borderId="0" xfId="103" applyNumberFormat="1" applyFont="1" applyBorder="1" applyAlignment="1">
      <alignment horizontal="center" wrapText="1"/>
    </xf>
    <xf numFmtId="42" fontId="18" fillId="0" borderId="0" xfId="55" applyNumberFormat="1" applyFont="1" applyBorder="1"/>
    <xf numFmtId="0" fontId="18" fillId="0" borderId="0" xfId="0" applyFont="1"/>
    <xf numFmtId="10" fontId="18" fillId="0" borderId="0" xfId="103" applyNumberFormat="1" applyFont="1" applyBorder="1"/>
    <xf numFmtId="42" fontId="19" fillId="0" borderId="0" xfId="55" applyNumberFormat="1" applyFont="1" applyBorder="1"/>
    <xf numFmtId="0" fontId="20" fillId="0" borderId="0" xfId="0" applyFont="1"/>
    <xf numFmtId="10" fontId="20" fillId="0" borderId="0" xfId="103" applyNumberFormat="1" applyFont="1" applyBorder="1"/>
    <xf numFmtId="42" fontId="21" fillId="0" borderId="0" xfId="55" applyNumberFormat="1" applyFont="1" applyBorder="1"/>
    <xf numFmtId="10" fontId="18" fillId="0" borderId="0" xfId="103" applyNumberFormat="1" applyFont="1"/>
    <xf numFmtId="10" fontId="18" fillId="0" borderId="0" xfId="103" quotePrefix="1" applyNumberFormat="1" applyFont="1"/>
    <xf numFmtId="0" fontId="71" fillId="0" borderId="0" xfId="0" applyFont="1" applyAlignment="1">
      <alignment vertical="center"/>
    </xf>
    <xf numFmtId="0" fontId="74" fillId="0" borderId="0" xfId="0" applyFont="1"/>
    <xf numFmtId="7" fontId="74" fillId="0" borderId="0" xfId="62" applyNumberFormat="1" applyFont="1"/>
    <xf numFmtId="7" fontId="74" fillId="0" borderId="12" xfId="62" applyNumberFormat="1" applyFont="1" applyBorder="1"/>
    <xf numFmtId="7" fontId="75" fillId="0" borderId="0" xfId="0" applyNumberFormat="1" applyFont="1"/>
    <xf numFmtId="41" fontId="22" fillId="0" borderId="11" xfId="0" applyNumberFormat="1" applyFont="1" applyBorder="1" applyAlignment="1" applyProtection="1">
      <alignment horizontal="right"/>
      <protection locked="0"/>
    </xf>
    <xf numFmtId="41" fontId="22" fillId="0" borderId="11" xfId="0" applyNumberFormat="1" applyFont="1" applyBorder="1" applyProtection="1">
      <protection locked="0"/>
    </xf>
    <xf numFmtId="0" fontId="77" fillId="0" borderId="0" xfId="0" applyFont="1"/>
    <xf numFmtId="7" fontId="77" fillId="0" borderId="0" xfId="62" applyNumberFormat="1" applyFont="1" applyBorder="1" applyAlignment="1">
      <alignment horizontal="center"/>
    </xf>
    <xf numFmtId="43" fontId="0" fillId="0" borderId="0" xfId="0" applyNumberFormat="1"/>
    <xf numFmtId="0" fontId="25" fillId="0" borderId="0" xfId="0" applyFont="1"/>
    <xf numFmtId="0" fontId="26" fillId="0" borderId="11" xfId="0" applyFont="1" applyBorder="1" applyAlignment="1">
      <alignment horizontal="center" vertical="center" wrapText="1"/>
    </xf>
    <xf numFmtId="0" fontId="22" fillId="0" borderId="0" xfId="0" applyFont="1"/>
    <xf numFmtId="0" fontId="22" fillId="0" borderId="0" xfId="0" applyFont="1" applyAlignment="1">
      <alignment wrapText="1"/>
    </xf>
    <xf numFmtId="41" fontId="22" fillId="0" borderId="0" xfId="0" applyNumberFormat="1" applyFont="1" applyAlignment="1" applyProtection="1">
      <alignment horizontal="right"/>
      <protection locked="0"/>
    </xf>
    <xf numFmtId="164" fontId="22" fillId="0" borderId="0" xfId="0" applyNumberFormat="1" applyFont="1" applyAlignment="1" applyProtection="1">
      <alignment horizontal="right"/>
      <protection locked="0"/>
    </xf>
    <xf numFmtId="41" fontId="22" fillId="0" borderId="0" xfId="0" applyNumberFormat="1" applyFont="1" applyProtection="1">
      <protection locked="0"/>
    </xf>
    <xf numFmtId="4" fontId="22" fillId="0" borderId="0" xfId="0" applyNumberFormat="1" applyFont="1" applyAlignment="1">
      <alignment horizontal="right"/>
    </xf>
    <xf numFmtId="4" fontId="22" fillId="0" borderId="0" xfId="0" applyNumberFormat="1" applyFont="1"/>
    <xf numFmtId="164" fontId="22" fillId="0" borderId="0" xfId="0" applyNumberFormat="1" applyFont="1" applyAlignment="1">
      <alignment horizontal="right"/>
    </xf>
    <xf numFmtId="164" fontId="22" fillId="0" borderId="0" xfId="0" applyNumberFormat="1" applyFont="1"/>
    <xf numFmtId="0" fontId="25" fillId="0" borderId="0" xfId="0" applyFont="1" applyAlignment="1">
      <alignment wrapText="1"/>
    </xf>
    <xf numFmtId="164" fontId="25" fillId="0" borderId="0" xfId="0" applyNumberFormat="1" applyFont="1" applyAlignment="1">
      <alignment horizontal="right"/>
    </xf>
    <xf numFmtId="164" fontId="25" fillId="0" borderId="0" xfId="0" applyNumberFormat="1" applyFont="1"/>
    <xf numFmtId="0" fontId="25" fillId="0" borderId="0" xfId="0" applyFont="1" applyAlignment="1">
      <alignment horizontal="left" wrapText="1"/>
    </xf>
    <xf numFmtId="41" fontId="27" fillId="0" borderId="13" xfId="0" applyNumberFormat="1" applyFont="1" applyBorder="1" applyAlignment="1">
      <alignment horizontal="right"/>
    </xf>
    <xf numFmtId="41" fontId="27" fillId="0" borderId="20" xfId="0" applyNumberFormat="1" applyFont="1" applyBorder="1" applyAlignment="1">
      <alignment horizontal="right"/>
    </xf>
    <xf numFmtId="41" fontId="22" fillId="0" borderId="13" xfId="0" applyNumberFormat="1" applyFont="1" applyBorder="1" applyAlignment="1">
      <alignment horizontal="right"/>
    </xf>
    <xf numFmtId="41" fontId="22" fillId="0" borderId="20" xfId="0" applyNumberFormat="1" applyFont="1" applyBorder="1" applyAlignment="1">
      <alignment horizontal="right"/>
    </xf>
    <xf numFmtId="41" fontId="22" fillId="56" borderId="13" xfId="0" applyNumberFormat="1" applyFont="1" applyFill="1" applyBorder="1" applyAlignment="1" applyProtection="1">
      <alignment horizontal="right"/>
      <protection locked="0"/>
    </xf>
    <xf numFmtId="41" fontId="22" fillId="56" borderId="20" xfId="0" applyNumberFormat="1" applyFont="1" applyFill="1" applyBorder="1" applyAlignment="1" applyProtection="1">
      <alignment horizontal="right"/>
      <protection locked="0"/>
    </xf>
    <xf numFmtId="41" fontId="22" fillId="57" borderId="13" xfId="0" applyNumberFormat="1" applyFont="1" applyFill="1" applyBorder="1" applyAlignment="1" applyProtection="1">
      <alignment horizontal="right"/>
      <protection locked="0"/>
    </xf>
    <xf numFmtId="41" fontId="22" fillId="57" borderId="13" xfId="0" applyNumberFormat="1" applyFont="1" applyFill="1" applyBorder="1" applyProtection="1">
      <protection locked="0"/>
    </xf>
    <xf numFmtId="0" fontId="18" fillId="0" borderId="0" xfId="0" applyFont="1" applyAlignment="1">
      <alignment horizontal="left" wrapText="1"/>
    </xf>
    <xf numFmtId="44" fontId="18" fillId="0" borderId="0" xfId="0" applyNumberFormat="1" applyFont="1"/>
    <xf numFmtId="0" fontId="23" fillId="16" borderId="22" xfId="95" applyFont="1" applyFill="1" applyBorder="1" applyAlignment="1">
      <alignment horizontal="left" wrapText="1"/>
    </xf>
    <xf numFmtId="0" fontId="6" fillId="16" borderId="22" xfId="95" applyFont="1" applyFill="1" applyBorder="1" applyAlignment="1">
      <alignment horizontal="center" wrapText="1"/>
    </xf>
    <xf numFmtId="0" fontId="23" fillId="16" borderId="22" xfId="95" applyFont="1" applyFill="1" applyBorder="1" applyAlignment="1">
      <alignment horizontal="center" wrapText="1"/>
    </xf>
    <xf numFmtId="44" fontId="20" fillId="0" borderId="0" xfId="55" applyNumberFormat="1" applyFont="1" applyBorder="1"/>
    <xf numFmtId="16" fontId="2" fillId="0" borderId="0" xfId="0" quotePrefix="1" applyNumberFormat="1" applyFont="1"/>
    <xf numFmtId="0" fontId="2" fillId="0" borderId="0" xfId="0" applyFont="1"/>
    <xf numFmtId="0" fontId="64" fillId="0" borderId="0" xfId="98"/>
    <xf numFmtId="10" fontId="18" fillId="0" borderId="0" xfId="103" applyNumberFormat="1" applyFont="1" applyFill="1" applyBorder="1"/>
    <xf numFmtId="0" fontId="88" fillId="0" borderId="0" xfId="0" applyFont="1"/>
    <xf numFmtId="0" fontId="2" fillId="0" borderId="48" xfId="0" applyFont="1" applyBorder="1" applyAlignment="1">
      <alignment horizontal="left" vertical="top" wrapText="1"/>
    </xf>
    <xf numFmtId="0" fontId="90" fillId="0" borderId="0" xfId="0" applyFont="1"/>
    <xf numFmtId="165" fontId="91" fillId="0" borderId="0" xfId="0" applyNumberFormat="1" applyFont="1"/>
    <xf numFmtId="165" fontId="2" fillId="0" borderId="0" xfId="0" applyNumberFormat="1" applyFont="1"/>
    <xf numFmtId="0" fontId="26" fillId="0" borderId="48" xfId="0" applyFont="1" applyBorder="1" applyAlignment="1">
      <alignment horizontal="left" vertical="top" wrapText="1"/>
    </xf>
    <xf numFmtId="0" fontId="26" fillId="0" borderId="48" xfId="0" applyFont="1" applyBorder="1" applyAlignment="1">
      <alignment horizontal="center" vertical="top" wrapText="1"/>
    </xf>
    <xf numFmtId="0" fontId="89" fillId="0" borderId="0" xfId="0" applyFont="1"/>
    <xf numFmtId="0" fontId="2" fillId="0" borderId="0" xfId="0" applyFont="1" applyAlignment="1">
      <alignment horizontal="right"/>
    </xf>
    <xf numFmtId="0" fontId="2" fillId="0" borderId="0" xfId="0" applyFont="1" applyAlignment="1">
      <alignment horizontal="left"/>
    </xf>
    <xf numFmtId="44" fontId="18" fillId="61" borderId="0" xfId="62" applyFont="1" applyFill="1"/>
    <xf numFmtId="0" fontId="18" fillId="0" borderId="0" xfId="0" applyFont="1" applyAlignment="1">
      <alignment horizontal="left"/>
    </xf>
    <xf numFmtId="0" fontId="6" fillId="62" borderId="0" xfId="0" applyFont="1" applyFill="1"/>
    <xf numFmtId="0" fontId="6" fillId="0" borderId="0" xfId="0" applyFont="1"/>
    <xf numFmtId="0" fontId="93" fillId="63" borderId="0" xfId="0" applyFont="1" applyFill="1"/>
    <xf numFmtId="0" fontId="22" fillId="0" borderId="0" xfId="112"/>
    <xf numFmtId="49" fontId="95" fillId="64" borderId="48" xfId="112" applyNumberFormat="1" applyFont="1" applyFill="1" applyBorder="1" applyAlignment="1">
      <alignment wrapText="1"/>
    </xf>
    <xf numFmtId="0" fontId="27" fillId="0" borderId="0" xfId="112" applyFont="1" applyAlignment="1">
      <alignment horizontal="right"/>
    </xf>
    <xf numFmtId="0" fontId="94" fillId="0" borderId="48" xfId="112" applyFont="1" applyBorder="1" applyAlignment="1">
      <alignment wrapText="1"/>
    </xf>
    <xf numFmtId="0" fontId="97" fillId="0" borderId="0" xfId="0" applyFont="1" applyAlignment="1">
      <alignment vertical="center"/>
    </xf>
    <xf numFmtId="0" fontId="97" fillId="0" borderId="0" xfId="0" applyFont="1" applyAlignment="1">
      <alignment horizontal="left" vertical="center" indent="4"/>
    </xf>
    <xf numFmtId="43" fontId="10" fillId="19" borderId="0" xfId="55" applyFont="1" applyFill="1" applyBorder="1"/>
    <xf numFmtId="165" fontId="10" fillId="0" borderId="16" xfId="55" applyNumberFormat="1" applyFont="1" applyFill="1" applyBorder="1"/>
    <xf numFmtId="0" fontId="92" fillId="0" borderId="0" xfId="0" applyFont="1"/>
    <xf numFmtId="0" fontId="76" fillId="0" borderId="0" xfId="0" applyFont="1" applyAlignment="1" applyProtection="1">
      <alignment horizontal="right"/>
      <protection locked="0"/>
    </xf>
    <xf numFmtId="0" fontId="74" fillId="0" borderId="0" xfId="0" applyFont="1" applyProtection="1">
      <protection locked="0"/>
    </xf>
    <xf numFmtId="7" fontId="77" fillId="0" borderId="0" xfId="62" applyNumberFormat="1" applyFont="1" applyProtection="1">
      <protection locked="0"/>
    </xf>
    <xf numFmtId="0" fontId="77" fillId="0" borderId="0" xfId="0" applyFont="1" applyProtection="1">
      <protection locked="0"/>
    </xf>
    <xf numFmtId="7" fontId="77" fillId="0" borderId="12" xfId="62" applyNumberFormat="1" applyFont="1" applyBorder="1" applyAlignment="1" applyProtection="1">
      <alignment horizontal="center"/>
      <protection locked="0"/>
    </xf>
    <xf numFmtId="0" fontId="77" fillId="0" borderId="12" xfId="0" applyFont="1" applyBorder="1" applyAlignment="1" applyProtection="1">
      <alignment horizontal="center"/>
      <protection locked="0"/>
    </xf>
    <xf numFmtId="0" fontId="77" fillId="0" borderId="0" xfId="0" applyFont="1" applyAlignment="1" applyProtection="1">
      <alignment horizontal="right" wrapText="1"/>
      <protection locked="0"/>
    </xf>
    <xf numFmtId="0" fontId="77" fillId="0" borderId="0" xfId="0" applyFont="1" applyAlignment="1" applyProtection="1">
      <alignment horizontal="right"/>
      <protection locked="0"/>
    </xf>
    <xf numFmtId="41" fontId="77" fillId="0" borderId="0" xfId="62" applyNumberFormat="1" applyFont="1" applyProtection="1">
      <protection locked="0"/>
    </xf>
    <xf numFmtId="164" fontId="77" fillId="0" borderId="0" xfId="62" applyNumberFormat="1" applyFont="1" applyProtection="1">
      <protection locked="0"/>
    </xf>
    <xf numFmtId="164" fontId="75" fillId="0" borderId="0" xfId="62" applyNumberFormat="1" applyFont="1" applyProtection="1">
      <protection locked="0"/>
    </xf>
    <xf numFmtId="44" fontId="74" fillId="0" borderId="0" xfId="62" applyFont="1" applyProtection="1">
      <protection locked="0"/>
    </xf>
    <xf numFmtId="41" fontId="77" fillId="53" borderId="0" xfId="62" applyNumberFormat="1" applyFont="1" applyFill="1" applyProtection="1"/>
    <xf numFmtId="41" fontId="77" fillId="58" borderId="0" xfId="62" applyNumberFormat="1" applyFont="1" applyFill="1" applyProtection="1"/>
    <xf numFmtId="41" fontId="77" fillId="54" borderId="0" xfId="62" applyNumberFormat="1" applyFont="1" applyFill="1" applyProtection="1"/>
    <xf numFmtId="41" fontId="77" fillId="56" borderId="0" xfId="62" applyNumberFormat="1" applyFont="1" applyFill="1" applyProtection="1"/>
    <xf numFmtId="41" fontId="77" fillId="57" borderId="0" xfId="62" applyNumberFormat="1" applyFont="1" applyFill="1" applyProtection="1"/>
    <xf numFmtId="41" fontId="78" fillId="0" borderId="0" xfId="62" applyNumberFormat="1" applyFont="1" applyBorder="1" applyProtection="1"/>
    <xf numFmtId="0" fontId="24" fillId="0" borderId="0" xfId="0" applyFont="1"/>
    <xf numFmtId="41" fontId="27" fillId="55" borderId="11" xfId="0" applyNumberFormat="1" applyFont="1" applyFill="1" applyBorder="1" applyAlignment="1" applyProtection="1">
      <alignment horizontal="left"/>
      <protection locked="0"/>
    </xf>
    <xf numFmtId="0" fontId="22" fillId="0" borderId="11" xfId="0" applyFont="1" applyBorder="1" applyAlignment="1" applyProtection="1">
      <alignment wrapText="1"/>
      <protection locked="0"/>
    </xf>
    <xf numFmtId="0" fontId="22" fillId="0" borderId="11" xfId="0" applyFont="1" applyBorder="1" applyAlignment="1" applyProtection="1">
      <alignment horizontal="right" wrapText="1"/>
      <protection locked="0"/>
    </xf>
    <xf numFmtId="0" fontId="22" fillId="0" borderId="0" xfId="0" applyFont="1" applyAlignment="1" applyProtection="1">
      <alignment wrapText="1"/>
      <protection locked="0"/>
    </xf>
    <xf numFmtId="0" fontId="27" fillId="0" borderId="0" xfId="0" applyFont="1" applyAlignment="1" applyProtection="1">
      <alignment wrapText="1"/>
      <protection locked="0"/>
    </xf>
    <xf numFmtId="41" fontId="27" fillId="0" borderId="0" xfId="0" applyNumberFormat="1" applyFont="1" applyAlignment="1" applyProtection="1">
      <alignment horizontal="left"/>
      <protection locked="0"/>
    </xf>
    <xf numFmtId="41" fontId="27" fillId="0" borderId="13" xfId="0" applyNumberFormat="1" applyFont="1" applyBorder="1" applyAlignment="1" applyProtection="1">
      <alignment horizontal="right"/>
      <protection locked="0"/>
    </xf>
    <xf numFmtId="0" fontId="24" fillId="0" borderId="23" xfId="0" applyFont="1" applyBorder="1" applyAlignment="1" applyProtection="1">
      <alignment horizontal="left" wrapText="1"/>
      <protection locked="0"/>
    </xf>
    <xf numFmtId="0" fontId="24" fillId="0" borderId="0" xfId="0" applyFont="1" applyAlignment="1" applyProtection="1">
      <alignment horizontal="left" wrapText="1"/>
      <protection locked="0"/>
    </xf>
    <xf numFmtId="0" fontId="24" fillId="0" borderId="0" xfId="0" applyFont="1" applyAlignment="1" applyProtection="1">
      <alignment horizontal="center" wrapText="1"/>
      <protection locked="0"/>
    </xf>
    <xf numFmtId="41" fontId="27" fillId="0" borderId="0" xfId="0" applyNumberFormat="1" applyFont="1" applyAlignment="1" applyProtection="1">
      <alignment horizontal="right"/>
      <protection locked="0"/>
    </xf>
    <xf numFmtId="41" fontId="27" fillId="0" borderId="14" xfId="0" applyNumberFormat="1" applyFont="1" applyBorder="1" applyAlignment="1" applyProtection="1">
      <alignment horizontal="right"/>
      <protection locked="0"/>
    </xf>
    <xf numFmtId="164" fontId="27" fillId="58" borderId="11" xfId="0" applyNumberFormat="1" applyFont="1" applyFill="1" applyBorder="1" applyAlignment="1" applyProtection="1">
      <alignment horizontal="center" wrapText="1"/>
      <protection locked="0"/>
    </xf>
    <xf numFmtId="0" fontId="22" fillId="0" borderId="11" xfId="0" applyFont="1" applyBorder="1" applyProtection="1">
      <protection locked="0"/>
    </xf>
    <xf numFmtId="0" fontId="22" fillId="0" borderId="19" xfId="0" applyFont="1" applyBorder="1" applyProtection="1">
      <protection locked="0"/>
    </xf>
    <xf numFmtId="0" fontId="24" fillId="0" borderId="12" xfId="0" applyFont="1" applyBorder="1" applyAlignment="1" applyProtection="1">
      <alignment horizontal="center"/>
      <protection locked="0"/>
    </xf>
    <xf numFmtId="41" fontId="27" fillId="0" borderId="12" xfId="0" applyNumberFormat="1" applyFont="1" applyBorder="1" applyAlignment="1" applyProtection="1">
      <alignment horizontal="right"/>
      <protection locked="0"/>
    </xf>
    <xf numFmtId="0" fontId="24" fillId="59" borderId="11" xfId="0" applyFont="1" applyFill="1" applyBorder="1" applyProtection="1">
      <protection locked="0"/>
    </xf>
    <xf numFmtId="0" fontId="27" fillId="59" borderId="11" xfId="0" applyFont="1" applyFill="1" applyBorder="1" applyAlignment="1" applyProtection="1">
      <alignment horizontal="center" wrapText="1"/>
      <protection locked="0"/>
    </xf>
    <xf numFmtId="164" fontId="27" fillId="59" borderId="11" xfId="0" applyNumberFormat="1" applyFont="1" applyFill="1" applyBorder="1" applyAlignment="1" applyProtection="1">
      <alignment horizontal="center" wrapText="1"/>
      <protection locked="0"/>
    </xf>
    <xf numFmtId="0" fontId="22" fillId="0" borderId="0" xfId="0" applyFont="1" applyProtection="1">
      <protection locked="0"/>
    </xf>
    <xf numFmtId="41" fontId="27" fillId="0" borderId="11" xfId="0" applyNumberFormat="1" applyFont="1" applyBorder="1" applyAlignment="1" applyProtection="1">
      <alignment horizontal="left"/>
      <protection locked="0"/>
    </xf>
    <xf numFmtId="0" fontId="22" fillId="0" borderId="23" xfId="0" applyFont="1" applyBorder="1" applyAlignment="1" applyProtection="1">
      <alignment wrapText="1"/>
      <protection locked="0"/>
    </xf>
    <xf numFmtId="0" fontId="24" fillId="56" borderId="19" xfId="0" applyFont="1" applyFill="1" applyBorder="1" applyProtection="1">
      <protection locked="0"/>
    </xf>
    <xf numFmtId="0" fontId="24" fillId="56" borderId="13" xfId="0" applyFont="1" applyFill="1" applyBorder="1" applyProtection="1">
      <protection locked="0"/>
    </xf>
    <xf numFmtId="164" fontId="27" fillId="57" borderId="11" xfId="0" applyNumberFormat="1" applyFont="1" applyFill="1" applyBorder="1" applyAlignment="1" applyProtection="1">
      <alignment horizontal="center" wrapText="1"/>
      <protection locked="0"/>
    </xf>
    <xf numFmtId="41" fontId="22" fillId="57" borderId="20" xfId="0" applyNumberFormat="1" applyFont="1" applyFill="1" applyBorder="1" applyProtection="1">
      <protection locked="0"/>
    </xf>
    <xf numFmtId="0" fontId="22" fillId="0" borderId="23" xfId="0" applyFont="1" applyBorder="1" applyProtection="1">
      <protection locked="0"/>
    </xf>
    <xf numFmtId="41" fontId="22" fillId="0" borderId="11" xfId="0" applyNumberFormat="1" applyFont="1" applyBorder="1" applyAlignment="1">
      <alignment horizontal="right"/>
    </xf>
    <xf numFmtId="41" fontId="22" fillId="0" borderId="11" xfId="0" applyNumberFormat="1" applyFont="1" applyBorder="1"/>
    <xf numFmtId="41" fontId="22" fillId="56" borderId="11" xfId="0" applyNumberFormat="1" applyFont="1" applyFill="1" applyBorder="1" applyAlignment="1">
      <alignment horizontal="right"/>
    </xf>
    <xf numFmtId="41" fontId="22" fillId="56" borderId="11" xfId="0" applyNumberFormat="1" applyFont="1" applyFill="1" applyBorder="1"/>
    <xf numFmtId="41" fontId="22" fillId="57" borderId="11" xfId="0" applyNumberFormat="1" applyFont="1" applyFill="1" applyBorder="1"/>
    <xf numFmtId="0" fontId="27" fillId="0" borderId="11" xfId="0" applyFont="1" applyBorder="1" applyAlignment="1" applyProtection="1">
      <alignment horizontal="center"/>
      <protection locked="0"/>
    </xf>
    <xf numFmtId="0" fontId="22" fillId="0" borderId="11" xfId="0" applyFont="1" applyBorder="1" applyAlignment="1" applyProtection="1">
      <alignment horizontal="center" wrapText="1"/>
      <protection locked="0"/>
    </xf>
    <xf numFmtId="0" fontId="70" fillId="0" borderId="0" xfId="0" applyFont="1" applyAlignment="1" applyProtection="1">
      <alignment vertical="center"/>
      <protection locked="0"/>
    </xf>
    <xf numFmtId="0" fontId="84" fillId="0" borderId="0" xfId="0" applyFont="1" applyAlignment="1" applyProtection="1">
      <alignment horizontal="center" vertical="center" wrapText="1"/>
      <protection locked="0"/>
    </xf>
    <xf numFmtId="0" fontId="71" fillId="0" borderId="0" xfId="0" applyFont="1" applyAlignment="1" applyProtection="1">
      <alignment vertical="center"/>
      <protection locked="0"/>
    </xf>
    <xf numFmtId="0" fontId="72" fillId="0" borderId="0" xfId="0" applyFont="1" applyAlignment="1" applyProtection="1">
      <alignment vertical="center"/>
      <protection locked="0"/>
    </xf>
    <xf numFmtId="165" fontId="72" fillId="0" borderId="0" xfId="55" applyNumberFormat="1" applyFont="1" applyAlignment="1" applyProtection="1">
      <alignment vertical="center"/>
      <protection locked="0"/>
    </xf>
    <xf numFmtId="165" fontId="70" fillId="0" borderId="0" xfId="55" applyNumberFormat="1" applyFont="1" applyAlignment="1" applyProtection="1">
      <alignment vertical="center"/>
      <protection locked="0"/>
    </xf>
    <xf numFmtId="165" fontId="71" fillId="0" borderId="0" xfId="55" quotePrefix="1" applyNumberFormat="1" applyFont="1" applyAlignment="1" applyProtection="1">
      <alignment horizontal="center" vertical="center"/>
      <protection locked="0"/>
    </xf>
    <xf numFmtId="165" fontId="73" fillId="0" borderId="0" xfId="55" applyNumberFormat="1" applyFont="1" applyAlignment="1" applyProtection="1">
      <alignment vertical="center"/>
      <protection locked="0"/>
    </xf>
    <xf numFmtId="0" fontId="22" fillId="0" borderId="0" xfId="0" applyFont="1" applyAlignment="1" applyProtection="1">
      <alignment vertical="center"/>
      <protection locked="0"/>
    </xf>
    <xf numFmtId="165" fontId="22" fillId="0" borderId="0" xfId="55" applyNumberFormat="1" applyFont="1" applyAlignment="1" applyProtection="1">
      <alignment vertical="center"/>
      <protection locked="0"/>
    </xf>
    <xf numFmtId="0" fontId="0" fillId="0" borderId="0" xfId="0" applyProtection="1">
      <protection locked="0"/>
    </xf>
    <xf numFmtId="165" fontId="0" fillId="0" borderId="0" xfId="55" applyNumberFormat="1" applyFont="1" applyProtection="1">
      <protection locked="0"/>
    </xf>
    <xf numFmtId="165" fontId="71" fillId="65" borderId="0" xfId="55" applyNumberFormat="1" applyFont="1" applyFill="1" applyAlignment="1" applyProtection="1">
      <alignment vertical="center"/>
      <protection locked="0"/>
    </xf>
    <xf numFmtId="165" fontId="73" fillId="65" borderId="0" xfId="55" applyNumberFormat="1" applyFont="1" applyFill="1" applyAlignment="1" applyProtection="1">
      <alignment vertical="center"/>
      <protection locked="0"/>
    </xf>
    <xf numFmtId="169" fontId="71" fillId="0" borderId="0" xfId="62" applyNumberFormat="1" applyFont="1" applyAlignment="1" applyProtection="1">
      <alignment vertical="center"/>
    </xf>
    <xf numFmtId="165" fontId="71" fillId="0" borderId="0" xfId="55" quotePrefix="1" applyNumberFormat="1" applyFont="1" applyAlignment="1" applyProtection="1">
      <alignment horizontal="center" vertical="center"/>
    </xf>
    <xf numFmtId="165" fontId="73" fillId="0" borderId="0" xfId="55" applyNumberFormat="1" applyFont="1" applyAlignment="1" applyProtection="1">
      <alignment vertical="center"/>
    </xf>
    <xf numFmtId="169" fontId="71" fillId="0" borderId="0" xfId="62" quotePrefix="1" applyNumberFormat="1" applyFont="1" applyAlignment="1" applyProtection="1">
      <alignment horizontal="center" vertical="center"/>
    </xf>
    <xf numFmtId="165" fontId="71" fillId="0" borderId="0" xfId="55" applyNumberFormat="1" applyFont="1" applyAlignment="1" applyProtection="1">
      <alignment vertical="center"/>
    </xf>
    <xf numFmtId="169" fontId="83" fillId="0" borderId="0" xfId="62" applyNumberFormat="1" applyFont="1" applyAlignment="1" applyProtection="1">
      <alignment vertical="center"/>
    </xf>
    <xf numFmtId="0" fontId="86" fillId="0" borderId="0" xfId="0" applyFont="1" applyProtection="1">
      <protection locked="0"/>
    </xf>
    <xf numFmtId="0" fontId="96" fillId="0" borderId="0" xfId="0" applyFont="1" applyProtection="1">
      <protection locked="0"/>
    </xf>
    <xf numFmtId="0" fontId="86" fillId="60" borderId="0" xfId="0" applyFont="1" applyFill="1" applyProtection="1">
      <protection locked="0"/>
    </xf>
    <xf numFmtId="0" fontId="0" fillId="60" borderId="0" xfId="0" applyFill="1" applyProtection="1">
      <protection locked="0"/>
    </xf>
    <xf numFmtId="0" fontId="0" fillId="0" borderId="28" xfId="0" applyBorder="1" applyAlignment="1" applyProtection="1">
      <alignment horizontal="center"/>
      <protection locked="0"/>
    </xf>
    <xf numFmtId="0" fontId="0" fillId="0" borderId="14" xfId="0" applyBorder="1" applyProtection="1">
      <protection locked="0"/>
    </xf>
    <xf numFmtId="0" fontId="0" fillId="0" borderId="25" xfId="0" applyBorder="1" applyProtection="1">
      <protection locked="0"/>
    </xf>
    <xf numFmtId="0" fontId="81" fillId="0" borderId="0" xfId="0" applyFont="1" applyProtection="1">
      <protection locked="0"/>
    </xf>
    <xf numFmtId="0" fontId="81" fillId="0" borderId="0" xfId="0" applyFont="1" applyAlignment="1" applyProtection="1">
      <alignment horizontal="center"/>
      <protection locked="0"/>
    </xf>
    <xf numFmtId="0" fontId="67" fillId="0" borderId="0" xfId="0" applyFont="1" applyAlignment="1" applyProtection="1">
      <alignment horizontal="center"/>
      <protection locked="0"/>
    </xf>
    <xf numFmtId="0" fontId="87" fillId="0" borderId="23" xfId="0" applyFont="1" applyBorder="1" applyAlignment="1" applyProtection="1">
      <alignment horizontal="center"/>
      <protection locked="0"/>
    </xf>
    <xf numFmtId="0" fontId="81" fillId="0" borderId="24" xfId="0" applyFont="1" applyBorder="1" applyAlignment="1" applyProtection="1">
      <alignment horizontal="center"/>
      <protection locked="0"/>
    </xf>
    <xf numFmtId="0" fontId="0" fillId="0" borderId="0" xfId="0" applyAlignment="1" applyProtection="1">
      <alignment vertical="top"/>
      <protection locked="0"/>
    </xf>
    <xf numFmtId="165" fontId="0" fillId="0" borderId="0" xfId="55" applyNumberFormat="1" applyFont="1" applyFill="1" applyAlignment="1" applyProtection="1">
      <alignment vertical="top"/>
      <protection locked="0"/>
    </xf>
    <xf numFmtId="43" fontId="82" fillId="0" borderId="0" xfId="55" applyFont="1" applyFill="1" applyBorder="1" applyAlignment="1" applyProtection="1">
      <alignment vertical="top"/>
      <protection locked="0"/>
    </xf>
    <xf numFmtId="0" fontId="82" fillId="0" borderId="0" xfId="0" applyFont="1" applyAlignment="1" applyProtection="1">
      <alignment vertical="top" wrapText="1"/>
      <protection locked="0"/>
    </xf>
    <xf numFmtId="165" fontId="0" fillId="0" borderId="0" xfId="55" applyNumberFormat="1" applyFont="1" applyFill="1" applyProtection="1">
      <protection locked="0"/>
    </xf>
    <xf numFmtId="0" fontId="82" fillId="0" borderId="0" xfId="0" applyFont="1" applyProtection="1">
      <protection locked="0"/>
    </xf>
    <xf numFmtId="43" fontId="82" fillId="0" borderId="0" xfId="55" applyFont="1" applyFill="1" applyBorder="1" applyProtection="1">
      <protection locked="0"/>
    </xf>
    <xf numFmtId="0" fontId="82" fillId="0" borderId="12" xfId="0" applyFont="1" applyBorder="1" applyProtection="1">
      <protection locked="0"/>
    </xf>
    <xf numFmtId="0" fontId="0" fillId="0" borderId="0" xfId="0" applyAlignment="1" applyProtection="1">
      <alignment horizontal="right"/>
      <protection locked="0"/>
    </xf>
    <xf numFmtId="0" fontId="82" fillId="60" borderId="0" xfId="0" applyFont="1" applyFill="1" applyProtection="1">
      <protection locked="0"/>
    </xf>
    <xf numFmtId="0" fontId="0" fillId="0" borderId="11" xfId="0" applyBorder="1" applyProtection="1">
      <protection locked="0"/>
    </xf>
    <xf numFmtId="165" fontId="0" fillId="0" borderId="0" xfId="55" applyNumberFormat="1" applyFont="1" applyFill="1" applyAlignment="1" applyProtection="1">
      <alignment vertical="top"/>
    </xf>
    <xf numFmtId="165" fontId="0" fillId="0" borderId="0" xfId="55" applyNumberFormat="1" applyFont="1" applyFill="1" applyProtection="1"/>
    <xf numFmtId="169" fontId="0" fillId="0" borderId="23" xfId="62" applyNumberFormat="1" applyFont="1" applyFill="1" applyBorder="1" applyAlignment="1" applyProtection="1">
      <alignment vertical="top"/>
    </xf>
    <xf numFmtId="43" fontId="82" fillId="0" borderId="24" xfId="55" applyFont="1" applyFill="1" applyBorder="1" applyAlignment="1" applyProtection="1">
      <alignment vertical="top"/>
    </xf>
    <xf numFmtId="43" fontId="82" fillId="0" borderId="24" xfId="55" applyFont="1" applyFill="1" applyBorder="1" applyProtection="1"/>
    <xf numFmtId="43" fontId="82" fillId="0" borderId="27" xfId="55" applyFont="1" applyFill="1" applyBorder="1" applyProtection="1"/>
    <xf numFmtId="43" fontId="82" fillId="0" borderId="24" xfId="55" applyFont="1" applyBorder="1" applyAlignment="1" applyProtection="1">
      <alignment vertical="top"/>
    </xf>
    <xf numFmtId="43" fontId="82" fillId="0" borderId="24" xfId="55" applyFont="1" applyBorder="1" applyProtection="1"/>
    <xf numFmtId="43" fontId="82" fillId="0" borderId="0" xfId="55" applyFont="1" applyFill="1" applyBorder="1" applyAlignment="1" applyProtection="1">
      <alignment vertical="top"/>
    </xf>
    <xf numFmtId="43" fontId="82" fillId="0" borderId="0" xfId="55" applyFont="1" applyFill="1" applyBorder="1" applyProtection="1"/>
    <xf numFmtId="43" fontId="82" fillId="0" borderId="12" xfId="55" applyFont="1" applyFill="1" applyBorder="1" applyProtection="1"/>
    <xf numFmtId="43" fontId="82" fillId="0" borderId="0" xfId="0" applyNumberFormat="1" applyFont="1"/>
    <xf numFmtId="43" fontId="82" fillId="0" borderId="0" xfId="55" applyFont="1" applyBorder="1" applyAlignment="1" applyProtection="1">
      <alignment vertical="top"/>
    </xf>
    <xf numFmtId="43" fontId="82" fillId="0" borderId="0" xfId="55" applyFont="1" applyBorder="1" applyProtection="1"/>
    <xf numFmtId="43" fontId="82" fillId="0" borderId="12" xfId="55" applyFont="1" applyBorder="1" applyProtection="1"/>
    <xf numFmtId="0" fontId="98" fillId="53" borderId="0" xfId="0" applyFont="1" applyFill="1" applyAlignment="1">
      <alignment vertical="center"/>
    </xf>
    <xf numFmtId="0" fontId="98" fillId="61" borderId="0" xfId="0" applyFont="1" applyFill="1" applyAlignment="1">
      <alignment vertical="center"/>
    </xf>
    <xf numFmtId="0" fontId="98" fillId="54" borderId="0" xfId="0" applyFont="1" applyFill="1" applyAlignment="1">
      <alignment vertical="center"/>
    </xf>
    <xf numFmtId="0" fontId="98" fillId="66" borderId="0" xfId="0" applyFont="1" applyFill="1" applyAlignment="1">
      <alignment vertical="center"/>
    </xf>
    <xf numFmtId="0" fontId="98" fillId="63" borderId="0" xfId="0" applyFont="1" applyFill="1" applyAlignment="1">
      <alignment vertical="center"/>
    </xf>
    <xf numFmtId="14" fontId="2" fillId="61" borderId="0" xfId="0" applyNumberFormat="1" applyFont="1" applyFill="1"/>
    <xf numFmtId="0" fontId="99" fillId="0" borderId="0" xfId="0" applyFont="1"/>
    <xf numFmtId="0" fontId="6" fillId="61" borderId="0" xfId="0" applyFont="1" applyFill="1"/>
    <xf numFmtId="0" fontId="2" fillId="61" borderId="0" xfId="0" applyFont="1" applyFill="1"/>
    <xf numFmtId="43" fontId="2" fillId="61" borderId="0" xfId="55" applyFont="1" applyFill="1" applyProtection="1"/>
    <xf numFmtId="43" fontId="6" fillId="0" borderId="0" xfId="55" applyFont="1" applyProtection="1"/>
    <xf numFmtId="43" fontId="6" fillId="0" borderId="49" xfId="0" applyNumberFormat="1" applyFont="1" applyBorder="1"/>
    <xf numFmtId="0" fontId="6" fillId="0" borderId="50" xfId="0" applyFont="1" applyBorder="1"/>
    <xf numFmtId="43" fontId="10" fillId="0" borderId="0" xfId="55" applyFont="1"/>
    <xf numFmtId="43" fontId="0" fillId="0" borderId="0" xfId="0" applyNumberFormat="1" applyProtection="1">
      <protection locked="0"/>
    </xf>
    <xf numFmtId="0" fontId="104" fillId="65" borderId="0" xfId="0" applyFont="1" applyFill="1" applyAlignment="1" applyProtection="1">
      <alignment horizontal="center" vertical="center"/>
      <protection locked="0"/>
    </xf>
    <xf numFmtId="49" fontId="28" fillId="0" borderId="0" xfId="0" applyNumberFormat="1" applyFont="1" applyAlignment="1" applyProtection="1">
      <alignment horizontal="center"/>
      <protection locked="0"/>
    </xf>
    <xf numFmtId="0" fontId="105" fillId="67" borderId="0" xfId="0" applyFont="1" applyFill="1" applyAlignment="1" applyProtection="1">
      <alignment horizontal="center" wrapText="1"/>
      <protection locked="0"/>
    </xf>
    <xf numFmtId="0" fontId="103" fillId="68" borderId="0" xfId="0" applyFont="1" applyFill="1" applyProtection="1">
      <protection locked="0"/>
    </xf>
    <xf numFmtId="0" fontId="0" fillId="52" borderId="11" xfId="0" applyFill="1" applyBorder="1" applyProtection="1">
      <protection locked="0"/>
    </xf>
    <xf numFmtId="0" fontId="99" fillId="69" borderId="0" xfId="0" applyFont="1" applyFill="1" applyProtection="1">
      <protection locked="0"/>
    </xf>
    <xf numFmtId="0" fontId="0" fillId="69" borderId="0" xfId="0" applyFill="1" applyProtection="1">
      <protection locked="0"/>
    </xf>
    <xf numFmtId="0" fontId="96" fillId="69" borderId="0" xfId="0" applyFont="1" applyFill="1" applyProtection="1">
      <protection locked="0"/>
    </xf>
    <xf numFmtId="0" fontId="30" fillId="70" borderId="23" xfId="0" applyFont="1" applyFill="1" applyBorder="1" applyAlignment="1" applyProtection="1">
      <alignment horizontal="left"/>
      <protection locked="0"/>
    </xf>
    <xf numFmtId="0" fontId="30" fillId="70" borderId="0" xfId="0" applyFont="1" applyFill="1" applyAlignment="1" applyProtection="1">
      <alignment horizontal="left"/>
      <protection locked="0"/>
    </xf>
    <xf numFmtId="0" fontId="29" fillId="70" borderId="12" xfId="0" applyFont="1" applyFill="1" applyBorder="1" applyAlignment="1" applyProtection="1">
      <alignment horizontal="left" wrapText="1"/>
      <protection locked="0"/>
    </xf>
    <xf numFmtId="0" fontId="29" fillId="70" borderId="12" xfId="0" applyFont="1" applyFill="1" applyBorder="1" applyAlignment="1" applyProtection="1">
      <alignment horizontal="center"/>
      <protection locked="0"/>
    </xf>
    <xf numFmtId="0" fontId="108" fillId="0" borderId="0" xfId="0" applyFont="1"/>
    <xf numFmtId="0" fontId="30" fillId="70" borderId="0" xfId="0" applyFont="1" applyFill="1" applyAlignment="1" applyProtection="1">
      <alignment horizontal="center" wrapText="1"/>
      <protection locked="0"/>
    </xf>
    <xf numFmtId="164" fontId="27" fillId="53" borderId="53" xfId="0" applyNumberFormat="1" applyFont="1" applyFill="1" applyBorder="1" applyAlignment="1" applyProtection="1">
      <alignment horizontal="center" wrapText="1"/>
      <protection locked="0"/>
    </xf>
    <xf numFmtId="164" fontId="27" fillId="53" borderId="54" xfId="0" applyNumberFormat="1" applyFont="1" applyFill="1" applyBorder="1" applyAlignment="1" applyProtection="1">
      <alignment horizontal="center" wrapText="1"/>
      <protection locked="0"/>
    </xf>
    <xf numFmtId="41" fontId="22" fillId="0" borderId="56" xfId="0" applyNumberFormat="1" applyFont="1" applyBorder="1" applyAlignment="1">
      <alignment horizontal="right"/>
    </xf>
    <xf numFmtId="0" fontId="22" fillId="0" borderId="55" xfId="0" applyFont="1" applyBorder="1" applyAlignment="1" applyProtection="1">
      <alignment wrapText="1"/>
      <protection locked="0"/>
    </xf>
    <xf numFmtId="0" fontId="22" fillId="0" borderId="57" xfId="0" applyFont="1" applyBorder="1" applyAlignment="1" applyProtection="1">
      <alignment wrapText="1"/>
      <protection locked="0"/>
    </xf>
    <xf numFmtId="0" fontId="22" fillId="0" borderId="59" xfId="0" applyFont="1" applyBorder="1" applyAlignment="1" applyProtection="1">
      <alignment wrapText="1"/>
      <protection locked="0"/>
    </xf>
    <xf numFmtId="0" fontId="27" fillId="0" borderId="61" xfId="0" applyFont="1" applyBorder="1" applyAlignment="1" applyProtection="1">
      <alignment horizontal="center"/>
      <protection locked="0"/>
    </xf>
    <xf numFmtId="41" fontId="22" fillId="0" borderId="60" xfId="0" applyNumberFormat="1" applyFont="1" applyBorder="1" applyAlignment="1">
      <alignment horizontal="right"/>
    </xf>
    <xf numFmtId="41" fontId="27" fillId="0" borderId="63" xfId="0" applyNumberFormat="1" applyFont="1" applyBorder="1" applyAlignment="1">
      <alignment horizontal="right"/>
    </xf>
    <xf numFmtId="0" fontId="80" fillId="0" borderId="0" xfId="0" applyFont="1" applyAlignment="1" applyProtection="1">
      <alignment horizontal="center"/>
      <protection locked="0"/>
    </xf>
    <xf numFmtId="0" fontId="24" fillId="0" borderId="0" xfId="0" applyFont="1" applyAlignment="1">
      <alignment horizontal="center"/>
    </xf>
    <xf numFmtId="0" fontId="22" fillId="0" borderId="0" xfId="0" applyFont="1" applyAlignment="1" applyProtection="1">
      <alignment horizontal="center" wrapText="1"/>
      <protection locked="0"/>
    </xf>
    <xf numFmtId="0" fontId="2" fillId="0" borderId="11" xfId="0" applyFont="1" applyBorder="1" applyAlignment="1" applyProtection="1">
      <alignment horizontal="center"/>
      <protection locked="0"/>
    </xf>
    <xf numFmtId="41" fontId="22" fillId="0" borderId="0" xfId="0" applyNumberFormat="1" applyFont="1" applyAlignment="1">
      <alignment horizontal="right"/>
    </xf>
    <xf numFmtId="0" fontId="2" fillId="0" borderId="48" xfId="0" applyFont="1" applyBorder="1" applyAlignment="1">
      <alignment horizontal="center" vertical="top" wrapText="1"/>
    </xf>
    <xf numFmtId="3" fontId="85" fillId="0" borderId="48" xfId="0" applyNumberFormat="1" applyFont="1" applyBorder="1" applyAlignment="1">
      <alignment horizontal="right" vertical="top" shrinkToFit="1"/>
    </xf>
    <xf numFmtId="0" fontId="109" fillId="0" borderId="0" xfId="0" applyFont="1"/>
    <xf numFmtId="43" fontId="109" fillId="61" borderId="0" xfId="55" applyFont="1" applyFill="1" applyProtection="1"/>
    <xf numFmtId="43" fontId="109" fillId="61" borderId="12" xfId="55" applyFont="1" applyFill="1" applyBorder="1" applyProtection="1"/>
    <xf numFmtId="43" fontId="109" fillId="0" borderId="0" xfId="55" applyFont="1" applyFill="1" applyBorder="1" applyProtection="1"/>
    <xf numFmtId="43" fontId="109" fillId="0" borderId="12" xfId="55" applyFont="1" applyFill="1" applyBorder="1" applyProtection="1"/>
    <xf numFmtId="43" fontId="109" fillId="0" borderId="0" xfId="55" applyFont="1" applyFill="1" applyProtection="1"/>
    <xf numFmtId="43" fontId="99" fillId="0" borderId="0" xfId="55" applyFont="1" applyFill="1" applyProtection="1"/>
    <xf numFmtId="43" fontId="109" fillId="0" borderId="12" xfId="55" applyFont="1" applyBorder="1" applyProtection="1"/>
    <xf numFmtId="43" fontId="99" fillId="0" borderId="0" xfId="0" applyNumberFormat="1" applyFont="1"/>
    <xf numFmtId="3" fontId="110" fillId="0" borderId="0" xfId="0" applyNumberFormat="1" applyFont="1"/>
    <xf numFmtId="43" fontId="2" fillId="61" borderId="0" xfId="55" applyFont="1" applyFill="1"/>
    <xf numFmtId="0" fontId="111" fillId="0" borderId="0" xfId="0" applyFont="1" applyAlignment="1">
      <alignment horizontal="left" vertical="top"/>
    </xf>
    <xf numFmtId="0" fontId="94" fillId="0" borderId="48" xfId="0" applyFont="1" applyBorder="1" applyAlignment="1">
      <alignment wrapText="1"/>
    </xf>
    <xf numFmtId="0" fontId="94" fillId="0" borderId="65" xfId="0" applyFont="1" applyBorder="1" applyAlignment="1">
      <alignment wrapText="1"/>
    </xf>
    <xf numFmtId="43" fontId="0" fillId="0" borderId="0" xfId="113" applyFont="1"/>
    <xf numFmtId="169" fontId="0" fillId="0" borderId="0" xfId="0" applyNumberFormat="1"/>
    <xf numFmtId="43" fontId="0" fillId="0" borderId="0" xfId="55" applyFont="1"/>
    <xf numFmtId="0" fontId="112" fillId="72" borderId="48" xfId="0" applyFont="1" applyFill="1" applyBorder="1" applyAlignment="1">
      <alignment horizontal="center" vertical="top" wrapText="1"/>
    </xf>
    <xf numFmtId="0" fontId="112" fillId="72" borderId="48" xfId="0" applyFont="1" applyFill="1" applyBorder="1" applyAlignment="1">
      <alignment horizontal="left" vertical="top" wrapText="1"/>
    </xf>
    <xf numFmtId="8" fontId="18" fillId="61" borderId="0" xfId="62" applyNumberFormat="1" applyFont="1" applyFill="1" applyBorder="1"/>
    <xf numFmtId="6" fontId="18" fillId="61" borderId="0" xfId="55" applyNumberFormat="1" applyFont="1" applyFill="1" applyBorder="1"/>
    <xf numFmtId="0" fontId="113" fillId="0" borderId="0" xfId="0" applyFont="1"/>
    <xf numFmtId="0" fontId="25" fillId="0" borderId="11" xfId="0" applyFont="1" applyBorder="1" applyAlignment="1">
      <alignment vertical="top" wrapText="1"/>
    </xf>
    <xf numFmtId="0" fontId="25" fillId="0" borderId="11" xfId="0" applyFont="1" applyBorder="1" applyAlignment="1">
      <alignment horizontal="left" vertical="top" wrapText="1"/>
    </xf>
    <xf numFmtId="0" fontId="2" fillId="0" borderId="11" xfId="0" applyFont="1" applyBorder="1" applyAlignment="1">
      <alignment horizontal="left" vertical="top" wrapText="1"/>
    </xf>
    <xf numFmtId="0" fontId="25" fillId="0" borderId="11" xfId="0" applyFont="1" applyBorder="1" applyAlignment="1">
      <alignment horizontal="center" vertical="top" wrapText="1"/>
    </xf>
    <xf numFmtId="0" fontId="0" fillId="0" borderId="0" xfId="0" applyAlignment="1">
      <alignment horizontal="center"/>
    </xf>
    <xf numFmtId="43" fontId="27" fillId="0" borderId="0" xfId="55" applyFont="1"/>
    <xf numFmtId="43" fontId="95" fillId="64" borderId="48" xfId="55" applyFont="1" applyFill="1" applyBorder="1" applyAlignment="1">
      <alignment wrapText="1"/>
    </xf>
    <xf numFmtId="0" fontId="82" fillId="0" borderId="0" xfId="0" applyFont="1" applyAlignment="1" applyProtection="1">
      <alignment vertical="top"/>
      <protection locked="0"/>
    </xf>
    <xf numFmtId="43" fontId="0" fillId="0" borderId="0" xfId="55" applyFont="1" applyProtection="1">
      <protection locked="0"/>
    </xf>
    <xf numFmtId="43" fontId="2" fillId="0" borderId="0" xfId="113" applyFont="1"/>
    <xf numFmtId="165" fontId="10" fillId="52" borderId="16" xfId="55" applyNumberFormat="1" applyFont="1" applyFill="1" applyBorder="1"/>
    <xf numFmtId="0" fontId="27" fillId="65" borderId="0" xfId="0" applyFont="1" applyFill="1" applyAlignment="1" applyProtection="1">
      <alignment horizontal="center" wrapText="1"/>
      <protection locked="0"/>
    </xf>
    <xf numFmtId="0" fontId="18" fillId="0" borderId="57" xfId="0" applyFont="1" applyBorder="1"/>
    <xf numFmtId="42" fontId="18" fillId="0" borderId="58" xfId="55" applyNumberFormat="1" applyFont="1" applyBorder="1"/>
    <xf numFmtId="42" fontId="19" fillId="0" borderId="58" xfId="55" applyNumberFormat="1" applyFont="1" applyBorder="1"/>
    <xf numFmtId="0" fontId="20" fillId="0" borderId="62" xfId="0" applyFont="1" applyBorder="1"/>
    <xf numFmtId="10" fontId="20" fillId="0" borderId="63" xfId="103" applyNumberFormat="1" applyFont="1" applyBorder="1"/>
    <xf numFmtId="42" fontId="21" fillId="0" borderId="64" xfId="55" applyNumberFormat="1" applyFont="1" applyBorder="1"/>
    <xf numFmtId="0" fontId="20" fillId="65" borderId="67" xfId="0" applyFont="1" applyFill="1" applyBorder="1" applyAlignment="1">
      <alignment horizontal="center" wrapText="1"/>
    </xf>
    <xf numFmtId="42" fontId="20" fillId="65" borderId="69" xfId="55" applyNumberFormat="1" applyFont="1" applyFill="1" applyBorder="1"/>
    <xf numFmtId="0" fontId="2" fillId="0" borderId="0" xfId="0" applyFont="1" applyProtection="1">
      <protection locked="0"/>
    </xf>
    <xf numFmtId="43" fontId="2" fillId="0" borderId="0" xfId="0" applyNumberFormat="1" applyFont="1" applyProtection="1">
      <protection locked="0"/>
    </xf>
    <xf numFmtId="43" fontId="2" fillId="0" borderId="0" xfId="0" applyNumberFormat="1" applyFont="1"/>
    <xf numFmtId="0" fontId="24" fillId="0" borderId="0" xfId="0" applyFont="1" applyAlignment="1" applyProtection="1">
      <alignment horizontal="center"/>
      <protection locked="0"/>
    </xf>
    <xf numFmtId="0" fontId="27" fillId="56" borderId="48" xfId="0" applyFont="1" applyFill="1" applyBorder="1" applyAlignment="1" applyProtection="1">
      <alignment horizontal="center" wrapText="1"/>
      <protection locked="0"/>
    </xf>
    <xf numFmtId="0" fontId="22" fillId="0" borderId="48" xfId="0" applyFont="1" applyBorder="1" applyAlignment="1" applyProtection="1">
      <alignment horizontal="center" wrapText="1"/>
      <protection locked="0"/>
    </xf>
    <xf numFmtId="0" fontId="22" fillId="0" borderId="48" xfId="0" applyFont="1" applyBorder="1" applyProtection="1">
      <protection locked="0"/>
    </xf>
    <xf numFmtId="41" fontId="22" fillId="52" borderId="20" xfId="0" applyNumberFormat="1" applyFont="1" applyFill="1" applyBorder="1" applyAlignment="1">
      <alignment horizontal="right"/>
    </xf>
    <xf numFmtId="0" fontId="116" fillId="58" borderId="28" xfId="0" applyFont="1" applyFill="1" applyBorder="1" applyProtection="1">
      <protection locked="0"/>
    </xf>
    <xf numFmtId="0" fontId="24" fillId="58" borderId="14" xfId="0" applyFont="1" applyFill="1" applyBorder="1" applyProtection="1">
      <protection locked="0"/>
    </xf>
    <xf numFmtId="0" fontId="27" fillId="58" borderId="14" xfId="0" applyFont="1" applyFill="1" applyBorder="1" applyAlignment="1" applyProtection="1">
      <alignment horizontal="center" wrapText="1"/>
      <protection locked="0"/>
    </xf>
    <xf numFmtId="0" fontId="30" fillId="58" borderId="14" xfId="0" applyFont="1" applyFill="1" applyBorder="1" applyAlignment="1" applyProtection="1">
      <alignment wrapText="1"/>
      <protection locked="0"/>
    </xf>
    <xf numFmtId="4" fontId="28" fillId="0" borderId="11" xfId="0" applyNumberFormat="1" applyFont="1" applyBorder="1" applyAlignment="1">
      <alignment horizontal="right"/>
    </xf>
    <xf numFmtId="0" fontId="2" fillId="0" borderId="71" xfId="0" applyFont="1" applyBorder="1" applyAlignment="1">
      <alignment horizontal="left" vertical="top" wrapText="1"/>
    </xf>
    <xf numFmtId="2" fontId="0" fillId="0" borderId="0" xfId="0" applyNumberFormat="1" applyAlignment="1">
      <alignment horizontal="left" vertical="top"/>
    </xf>
    <xf numFmtId="0" fontId="0" fillId="0" borderId="0" xfId="0" applyAlignment="1">
      <alignment horizontal="left" vertical="top"/>
    </xf>
    <xf numFmtId="0" fontId="2" fillId="0" borderId="0" xfId="0" applyFont="1" applyAlignment="1">
      <alignment horizontal="left" vertical="top" wrapText="1"/>
    </xf>
    <xf numFmtId="44" fontId="25" fillId="0" borderId="11" xfId="63" applyFont="1" applyBorder="1" applyAlignment="1">
      <alignment vertical="center" wrapText="1"/>
    </xf>
    <xf numFmtId="44" fontId="79" fillId="0" borderId="11" xfId="63" applyFont="1" applyBorder="1" applyAlignment="1">
      <alignment vertical="center" wrapText="1"/>
    </xf>
    <xf numFmtId="0" fontId="2" fillId="52" borderId="0" xfId="0" applyFont="1" applyFill="1"/>
    <xf numFmtId="49" fontId="121" fillId="0" borderId="48" xfId="0" applyNumberFormat="1" applyFont="1" applyBorder="1" applyAlignment="1">
      <alignment horizontal="center" wrapText="1"/>
    </xf>
    <xf numFmtId="173" fontId="121" fillId="0" borderId="48" xfId="0" applyNumberFormat="1" applyFont="1" applyBorder="1" applyAlignment="1">
      <alignment horizontal="center" wrapText="1"/>
    </xf>
    <xf numFmtId="174" fontId="121" fillId="0" borderId="48" xfId="0" applyNumberFormat="1" applyFont="1" applyBorder="1" applyAlignment="1">
      <alignment horizontal="center" wrapText="1"/>
    </xf>
    <xf numFmtId="49" fontId="121" fillId="0" borderId="48" xfId="0" applyNumberFormat="1" applyFont="1" applyBorder="1" applyAlignment="1">
      <alignment horizontal="left" wrapText="1"/>
    </xf>
    <xf numFmtId="4" fontId="121" fillId="0" borderId="48" xfId="0" applyNumberFormat="1" applyFont="1" applyBorder="1" applyAlignment="1">
      <alignment horizontal="right" wrapText="1"/>
    </xf>
    <xf numFmtId="49" fontId="122" fillId="0" borderId="0" xfId="0" applyNumberFormat="1" applyFont="1"/>
    <xf numFmtId="49" fontId="122" fillId="0" borderId="0" xfId="0" applyNumberFormat="1" applyFont="1" applyAlignment="1">
      <alignment horizontal="left"/>
    </xf>
    <xf numFmtId="49" fontId="121" fillId="0" borderId="0" xfId="0" applyNumberFormat="1" applyFont="1" applyAlignment="1">
      <alignment horizontal="left"/>
    </xf>
    <xf numFmtId="0" fontId="123" fillId="0" borderId="0" xfId="0" applyFont="1"/>
    <xf numFmtId="169" fontId="0" fillId="73" borderId="23" xfId="62" applyNumberFormat="1" applyFont="1" applyFill="1" applyBorder="1" applyAlignment="1" applyProtection="1">
      <alignment vertical="top"/>
    </xf>
    <xf numFmtId="169" fontId="0" fillId="73" borderId="26" xfId="62" applyNumberFormat="1" applyFont="1" applyFill="1" applyBorder="1" applyAlignment="1" applyProtection="1">
      <alignment vertical="top"/>
    </xf>
    <xf numFmtId="0" fontId="94" fillId="0" borderId="72" xfId="0" applyFont="1" applyBorder="1" applyAlignment="1">
      <alignment wrapText="1"/>
    </xf>
    <xf numFmtId="49" fontId="121" fillId="0" borderId="70" xfId="0" applyNumberFormat="1" applyFont="1" applyBorder="1" applyAlignment="1">
      <alignment horizontal="center" wrapText="1"/>
    </xf>
    <xf numFmtId="0" fontId="94" fillId="0" borderId="70" xfId="112" applyFont="1" applyBorder="1" applyAlignment="1">
      <alignment wrapText="1"/>
    </xf>
    <xf numFmtId="173" fontId="121" fillId="0" borderId="70" xfId="0" applyNumberFormat="1" applyFont="1" applyBorder="1" applyAlignment="1">
      <alignment horizontal="center" wrapText="1"/>
    </xf>
    <xf numFmtId="174" fontId="121" fillId="0" borderId="70" xfId="0" applyNumberFormat="1" applyFont="1" applyBorder="1" applyAlignment="1">
      <alignment horizontal="center" wrapText="1"/>
    </xf>
    <xf numFmtId="49" fontId="121" fillId="0" borderId="70" xfId="0" applyNumberFormat="1" applyFont="1" applyBorder="1" applyAlignment="1">
      <alignment horizontal="left" wrapText="1"/>
    </xf>
    <xf numFmtId="4" fontId="121" fillId="0" borderId="70" xfId="0" applyNumberFormat="1" applyFont="1" applyBorder="1" applyAlignment="1">
      <alignment horizontal="right" wrapText="1"/>
    </xf>
    <xf numFmtId="0" fontId="22" fillId="0" borderId="11" xfId="112" applyBorder="1"/>
    <xf numFmtId="43" fontId="0" fillId="0" borderId="11" xfId="113" applyFont="1" applyBorder="1"/>
    <xf numFmtId="0" fontId="125" fillId="0" borderId="73" xfId="0" applyFont="1" applyBorder="1" applyAlignment="1">
      <alignment vertical="top" wrapText="1"/>
    </xf>
    <xf numFmtId="0" fontId="125" fillId="0" borderId="48" xfId="0" applyFont="1" applyBorder="1" applyAlignment="1">
      <alignment horizontal="center" vertical="top" wrapText="1"/>
    </xf>
    <xf numFmtId="3" fontId="126" fillId="0" borderId="48" xfId="0" applyNumberFormat="1" applyFont="1" applyBorder="1" applyAlignment="1">
      <alignment horizontal="right" vertical="top" shrinkToFit="1"/>
    </xf>
    <xf numFmtId="0" fontId="125" fillId="0" borderId="74" xfId="0" applyFont="1" applyBorder="1" applyAlignment="1">
      <alignment vertical="top" wrapText="1"/>
    </xf>
    <xf numFmtId="0" fontId="125" fillId="0" borderId="70" xfId="0" applyFont="1" applyBorder="1" applyAlignment="1">
      <alignment horizontal="center" vertical="top" wrapText="1"/>
    </xf>
    <xf numFmtId="3" fontId="126" fillId="0" borderId="70" xfId="0" applyNumberFormat="1" applyFont="1" applyBorder="1" applyAlignment="1">
      <alignment horizontal="right" vertical="top" shrinkToFit="1"/>
    </xf>
    <xf numFmtId="10" fontId="18" fillId="0" borderId="0" xfId="115" applyNumberFormat="1" applyFont="1"/>
    <xf numFmtId="44" fontId="18" fillId="0" borderId="0" xfId="62" applyFont="1"/>
    <xf numFmtId="44" fontId="18" fillId="0" borderId="21" xfId="115" applyNumberFormat="1" applyFont="1" applyBorder="1"/>
    <xf numFmtId="0" fontId="26" fillId="0" borderId="70" xfId="0" applyFont="1" applyBorder="1" applyAlignment="1">
      <alignment horizontal="left" vertical="top" wrapText="1"/>
    </xf>
    <xf numFmtId="0" fontId="26" fillId="0" borderId="70" xfId="0" applyFont="1" applyBorder="1" applyAlignment="1">
      <alignment horizontal="center" vertical="top" wrapText="1"/>
    </xf>
    <xf numFmtId="0" fontId="26" fillId="0" borderId="66" xfId="0" applyFont="1" applyBorder="1" applyAlignment="1">
      <alignment horizontal="center" vertical="center" wrapText="1"/>
    </xf>
    <xf numFmtId="0" fontId="74" fillId="0" borderId="11" xfId="0" applyFont="1" applyBorder="1" applyAlignment="1">
      <alignment vertical="top" wrapText="1"/>
    </xf>
    <xf numFmtId="0" fontId="6" fillId="52" borderId="0" xfId="0" applyFont="1" applyFill="1"/>
    <xf numFmtId="175" fontId="2" fillId="0" borderId="0" xfId="0" applyNumberFormat="1" applyFont="1"/>
    <xf numFmtId="0" fontId="2" fillId="0" borderId="0" xfId="92"/>
    <xf numFmtId="0" fontId="90" fillId="0" borderId="0" xfId="92" applyFont="1"/>
    <xf numFmtId="0" fontId="10" fillId="0" borderId="0" xfId="92" applyFont="1"/>
    <xf numFmtId="0" fontId="10" fillId="0" borderId="17" xfId="92" applyFont="1" applyBorder="1"/>
    <xf numFmtId="0" fontId="10" fillId="20" borderId="20" xfId="92" applyFont="1" applyFill="1" applyBorder="1" applyAlignment="1">
      <alignment wrapText="1"/>
    </xf>
    <xf numFmtId="0" fontId="10" fillId="20" borderId="19" xfId="92" applyFont="1" applyFill="1" applyBorder="1" applyAlignment="1">
      <alignment horizontal="center" vertical="center"/>
    </xf>
    <xf numFmtId="0" fontId="10" fillId="19" borderId="0" xfId="92" applyFont="1" applyFill="1"/>
    <xf numFmtId="165" fontId="10" fillId="52" borderId="16" xfId="92" applyNumberFormat="1" applyFont="1" applyFill="1" applyBorder="1"/>
    <xf numFmtId="165" fontId="10" fillId="0" borderId="16" xfId="92" applyNumberFormat="1" applyFont="1" applyBorder="1"/>
    <xf numFmtId="0" fontId="10" fillId="0" borderId="16" xfId="92" applyFont="1" applyBorder="1"/>
    <xf numFmtId="0" fontId="10" fillId="20" borderId="20" xfId="92" applyFont="1" applyFill="1" applyBorder="1"/>
    <xf numFmtId="0" fontId="10" fillId="0" borderId="15" xfId="92" applyFont="1" applyBorder="1"/>
    <xf numFmtId="0" fontId="10" fillId="0" borderId="18" xfId="92" applyFont="1" applyBorder="1"/>
    <xf numFmtId="0" fontId="10" fillId="0" borderId="12" xfId="92" applyFont="1" applyBorder="1"/>
    <xf numFmtId="0" fontId="12" fillId="0" borderId="12" xfId="92" applyFont="1" applyBorder="1"/>
    <xf numFmtId="0" fontId="12" fillId="0" borderId="0" xfId="92" applyFont="1"/>
    <xf numFmtId="0" fontId="12" fillId="0" borderId="15" xfId="92" applyFont="1" applyBorder="1"/>
    <xf numFmtId="0" fontId="12" fillId="0" borderId="15" xfId="92" applyFont="1" applyBorder="1" applyAlignment="1">
      <alignment horizontal="right"/>
    </xf>
    <xf numFmtId="167" fontId="12" fillId="0" borderId="16" xfId="92" applyNumberFormat="1" applyFont="1" applyBorder="1" applyAlignment="1">
      <alignment horizontal="center"/>
    </xf>
    <xf numFmtId="167" fontId="12" fillId="0" borderId="15" xfId="92" applyNumberFormat="1" applyFont="1" applyBorder="1" applyAlignment="1">
      <alignment horizontal="center"/>
    </xf>
    <xf numFmtId="0" fontId="10" fillId="52" borderId="47" xfId="92" applyFont="1" applyFill="1" applyBorder="1"/>
    <xf numFmtId="0" fontId="10" fillId="52" borderId="46" xfId="92" applyFont="1" applyFill="1" applyBorder="1"/>
    <xf numFmtId="167" fontId="10" fillId="0" borderId="0" xfId="92" applyNumberFormat="1" applyFont="1" applyAlignment="1">
      <alignment horizontal="center"/>
    </xf>
    <xf numFmtId="0" fontId="13" fillId="0" borderId="0" xfId="92" applyFont="1"/>
    <xf numFmtId="167" fontId="10" fillId="0" borderId="17" xfId="92" applyNumberFormat="1" applyFont="1" applyBorder="1" applyAlignment="1">
      <alignment horizontal="center"/>
    </xf>
    <xf numFmtId="167" fontId="10" fillId="0" borderId="16" xfId="92" applyNumberFormat="1" applyFont="1" applyBorder="1" applyAlignment="1">
      <alignment horizontal="center"/>
    </xf>
    <xf numFmtId="167" fontId="11" fillId="0" borderId="16" xfId="92" applyNumberFormat="1" applyFont="1" applyBorder="1" applyAlignment="1">
      <alignment horizontal="center"/>
    </xf>
    <xf numFmtId="166" fontId="10" fillId="0" borderId="15" xfId="92" applyNumberFormat="1" applyFont="1" applyBorder="1" applyAlignment="1">
      <alignment horizontal="center"/>
    </xf>
    <xf numFmtId="167" fontId="11" fillId="0" borderId="15" xfId="92" applyNumberFormat="1" applyFont="1" applyBorder="1" applyAlignment="1">
      <alignment horizontal="center"/>
    </xf>
    <xf numFmtId="166" fontId="10" fillId="0" borderId="0" xfId="92" applyNumberFormat="1" applyFont="1" applyAlignment="1">
      <alignment horizontal="center"/>
    </xf>
    <xf numFmtId="167" fontId="12" fillId="0" borderId="0" xfId="92" applyNumberFormat="1" applyFont="1" applyAlignment="1">
      <alignment horizontal="center"/>
    </xf>
    <xf numFmtId="0" fontId="100" fillId="0" borderId="0" xfId="92" applyFont="1"/>
    <xf numFmtId="0" fontId="12" fillId="0" borderId="13" xfId="92" applyFont="1" applyBorder="1" applyAlignment="1">
      <alignment horizontal="center"/>
    </xf>
    <xf numFmtId="0" fontId="12" fillId="0" borderId="12" xfId="92" applyFont="1" applyBorder="1" applyAlignment="1">
      <alignment horizontal="center"/>
    </xf>
    <xf numFmtId="44" fontId="18" fillId="74" borderId="0" xfId="0" applyNumberFormat="1" applyFont="1" applyFill="1"/>
    <xf numFmtId="0" fontId="127" fillId="0" borderId="48" xfId="0" applyFont="1" applyBorder="1" applyAlignment="1">
      <alignment horizontal="center" vertical="top" wrapText="1"/>
    </xf>
    <xf numFmtId="0" fontId="127" fillId="0" borderId="48" xfId="0" applyFont="1" applyBorder="1" applyAlignment="1">
      <alignment horizontal="left" vertical="top" wrapText="1"/>
    </xf>
    <xf numFmtId="0" fontId="63" fillId="0" borderId="0" xfId="116" applyAlignment="1">
      <alignment horizontal="left" vertical="top"/>
    </xf>
    <xf numFmtId="10" fontId="0" fillId="0" borderId="0" xfId="103" applyNumberFormat="1" applyFont="1"/>
    <xf numFmtId="176" fontId="0" fillId="0" borderId="0" xfId="103" applyNumberFormat="1" applyFont="1"/>
    <xf numFmtId="176" fontId="0" fillId="0" borderId="0" xfId="0" applyNumberFormat="1"/>
    <xf numFmtId="0" fontId="18" fillId="0" borderId="12" xfId="0" applyFont="1" applyBorder="1"/>
    <xf numFmtId="10" fontId="18" fillId="0" borderId="12" xfId="103" applyNumberFormat="1" applyFont="1" applyFill="1" applyBorder="1"/>
    <xf numFmtId="42" fontId="18" fillId="0" borderId="12" xfId="55" applyNumberFormat="1" applyFont="1" applyBorder="1"/>
    <xf numFmtId="10" fontId="18" fillId="0" borderId="0" xfId="115" applyNumberFormat="1" applyFont="1" applyFill="1"/>
    <xf numFmtId="42" fontId="19" fillId="0" borderId="0" xfId="55" applyNumberFormat="1" applyFont="1"/>
    <xf numFmtId="44" fontId="18" fillId="0" borderId="0" xfId="117" applyFont="1"/>
    <xf numFmtId="10" fontId="20" fillId="0" borderId="0" xfId="115" applyNumberFormat="1" applyFont="1" applyBorder="1"/>
    <xf numFmtId="10" fontId="18" fillId="0" borderId="0" xfId="115" applyNumberFormat="1" applyFont="1" applyFill="1" applyBorder="1"/>
    <xf numFmtId="42" fontId="18" fillId="61" borderId="0" xfId="55" applyNumberFormat="1" applyFont="1" applyFill="1" applyBorder="1"/>
    <xf numFmtId="10" fontId="18" fillId="0" borderId="0" xfId="115" applyNumberFormat="1" applyFont="1" applyBorder="1" applyAlignment="1">
      <alignment horizontal="center" wrapText="1"/>
    </xf>
    <xf numFmtId="10" fontId="18" fillId="0" borderId="12" xfId="115" applyNumberFormat="1" applyFont="1" applyFill="1" applyBorder="1"/>
    <xf numFmtId="41" fontId="22" fillId="0" borderId="75" xfId="0" applyNumberFormat="1" applyFont="1" applyBorder="1" applyAlignment="1">
      <alignment horizontal="right"/>
    </xf>
    <xf numFmtId="10" fontId="20" fillId="65" borderId="68" xfId="0" applyNumberFormat="1" applyFont="1" applyFill="1" applyBorder="1" applyAlignment="1">
      <alignment horizontal="left" wrapText="1"/>
    </xf>
    <xf numFmtId="172" fontId="27" fillId="76" borderId="11" xfId="0" applyNumberFormat="1" applyFont="1" applyFill="1" applyBorder="1" applyAlignment="1" applyProtection="1">
      <alignment wrapText="1"/>
      <protection locked="0"/>
    </xf>
    <xf numFmtId="2" fontId="27" fillId="77" borderId="11" xfId="0" applyNumberFormat="1" applyFont="1" applyFill="1" applyBorder="1" applyAlignment="1" applyProtection="1">
      <alignment wrapText="1"/>
      <protection locked="0"/>
    </xf>
    <xf numFmtId="2" fontId="27" fillId="78" borderId="11" xfId="0" applyNumberFormat="1" applyFont="1" applyFill="1" applyBorder="1" applyAlignment="1" applyProtection="1">
      <alignment wrapText="1"/>
      <protection locked="0"/>
    </xf>
    <xf numFmtId="0" fontId="115" fillId="78" borderId="11" xfId="0" applyFont="1" applyFill="1" applyBorder="1" applyAlignment="1" applyProtection="1">
      <alignment horizontal="left"/>
      <protection locked="0"/>
    </xf>
    <xf numFmtId="44" fontId="115" fillId="78" borderId="11" xfId="0" applyNumberFormat="1" applyFont="1" applyFill="1" applyBorder="1" applyAlignment="1">
      <alignment horizontal="left"/>
    </xf>
    <xf numFmtId="43" fontId="115" fillId="78" borderId="11" xfId="55" applyFont="1" applyFill="1" applyBorder="1" applyAlignment="1" applyProtection="1">
      <alignment horizontal="left"/>
    </xf>
    <xf numFmtId="2" fontId="27" fillId="53" borderId="11" xfId="0" applyNumberFormat="1" applyFont="1" applyFill="1" applyBorder="1" applyAlignment="1" applyProtection="1">
      <alignment wrapText="1"/>
      <protection locked="0"/>
    </xf>
    <xf numFmtId="2" fontId="27" fillId="53" borderId="60" xfId="0" applyNumberFormat="1" applyFont="1" applyFill="1" applyBorder="1" applyAlignment="1" applyProtection="1">
      <alignment wrapText="1"/>
      <protection locked="0"/>
    </xf>
    <xf numFmtId="0" fontId="22" fillId="53" borderId="11" xfId="0" applyFont="1" applyFill="1" applyBorder="1" applyAlignment="1" applyProtection="1">
      <alignment horizontal="right" wrapText="1"/>
      <protection locked="0"/>
    </xf>
    <xf numFmtId="0" fontId="22" fillId="53" borderId="60" xfId="0" applyFont="1" applyFill="1" applyBorder="1" applyAlignment="1" applyProtection="1">
      <alignment horizontal="right" wrapText="1"/>
      <protection locked="0"/>
    </xf>
    <xf numFmtId="44" fontId="22" fillId="0" borderId="0" xfId="0" applyNumberFormat="1" applyFont="1"/>
    <xf numFmtId="10" fontId="108" fillId="0" borderId="0" xfId="0" applyNumberFormat="1" applyFont="1"/>
    <xf numFmtId="10" fontId="25" fillId="0" borderId="0" xfId="0" applyNumberFormat="1" applyFont="1"/>
    <xf numFmtId="10" fontId="123" fillId="0" borderId="0" xfId="0" applyNumberFormat="1" applyFont="1"/>
    <xf numFmtId="10" fontId="22" fillId="0" borderId="0" xfId="0" applyNumberFormat="1" applyFont="1"/>
    <xf numFmtId="177" fontId="123" fillId="0" borderId="0" xfId="0" applyNumberFormat="1" applyFont="1"/>
    <xf numFmtId="177" fontId="22" fillId="0" borderId="0" xfId="0" applyNumberFormat="1" applyFont="1"/>
    <xf numFmtId="178" fontId="108" fillId="0" borderId="0" xfId="0" applyNumberFormat="1" applyFont="1"/>
    <xf numFmtId="178" fontId="25" fillId="0" borderId="0" xfId="0" applyNumberFormat="1" applyFont="1"/>
    <xf numFmtId="178" fontId="92" fillId="0" borderId="0" xfId="0" applyNumberFormat="1" applyFont="1"/>
    <xf numFmtId="178" fontId="123" fillId="0" borderId="0" xfId="0" applyNumberFormat="1" applyFont="1"/>
    <xf numFmtId="178" fontId="22" fillId="0" borderId="0" xfId="0" applyNumberFormat="1" applyFont="1"/>
    <xf numFmtId="178" fontId="22" fillId="0" borderId="0" xfId="103" applyNumberFormat="1" applyFont="1"/>
    <xf numFmtId="169" fontId="0" fillId="0" borderId="0" xfId="62" applyNumberFormat="1" applyFont="1" applyFill="1" applyBorder="1" applyAlignment="1" applyProtection="1">
      <alignment vertical="top"/>
    </xf>
    <xf numFmtId="0" fontId="120" fillId="0" borderId="0" xfId="118" applyFont="1"/>
    <xf numFmtId="0" fontId="120" fillId="0" borderId="0" xfId="118" applyFont="1" applyAlignment="1">
      <alignment horizontal="right"/>
    </xf>
    <xf numFmtId="168" fontId="120" fillId="0" borderId="0" xfId="119" applyNumberFormat="1" applyFont="1" applyAlignment="1">
      <alignment horizontal="right"/>
    </xf>
    <xf numFmtId="0" fontId="120" fillId="0" borderId="0" xfId="118" applyFont="1" applyAlignment="1">
      <alignment horizontal="center"/>
    </xf>
    <xf numFmtId="0" fontId="120" fillId="0" borderId="0" xfId="118" applyFont="1" applyAlignment="1">
      <alignment horizontal="left"/>
    </xf>
    <xf numFmtId="0" fontId="120" fillId="0" borderId="11" xfId="118" applyFont="1" applyBorder="1" applyAlignment="1">
      <alignment horizontal="center"/>
    </xf>
    <xf numFmtId="0" fontId="128" fillId="0" borderId="0" xfId="118" applyFont="1" applyAlignment="1">
      <alignment horizontal="right"/>
    </xf>
    <xf numFmtId="0" fontId="1" fillId="0" borderId="0" xfId="118"/>
    <xf numFmtId="0" fontId="120" fillId="0" borderId="11" xfId="118" applyFont="1" applyBorder="1"/>
    <xf numFmtId="0" fontId="80" fillId="0" borderId="0" xfId="0" applyFont="1" applyAlignment="1" applyProtection="1">
      <alignment horizontal="center"/>
      <protection locked="0"/>
    </xf>
    <xf numFmtId="0" fontId="77" fillId="0" borderId="0" xfId="62" applyNumberFormat="1" applyFont="1" applyAlignment="1" applyProtection="1">
      <alignment horizontal="center"/>
      <protection locked="0"/>
    </xf>
    <xf numFmtId="7" fontId="77" fillId="0" borderId="49" xfId="62" applyNumberFormat="1" applyFont="1" applyBorder="1" applyAlignment="1" applyProtection="1">
      <alignment horizontal="center"/>
      <protection locked="0"/>
    </xf>
    <xf numFmtId="7" fontId="77" fillId="0" borderId="51" xfId="62" applyNumberFormat="1" applyFont="1" applyBorder="1" applyAlignment="1" applyProtection="1">
      <alignment horizontal="center"/>
      <protection locked="0"/>
    </xf>
    <xf numFmtId="7" fontId="77" fillId="0" borderId="50" xfId="62" applyNumberFormat="1" applyFont="1" applyBorder="1" applyAlignment="1" applyProtection="1">
      <alignment horizontal="center"/>
      <protection locked="0"/>
    </xf>
    <xf numFmtId="0" fontId="22" fillId="0" borderId="11" xfId="0" applyFont="1" applyBorder="1" applyAlignment="1" applyProtection="1">
      <alignment horizontal="left" wrapText="1"/>
      <protection locked="0"/>
    </xf>
    <xf numFmtId="0" fontId="24" fillId="0" borderId="11" xfId="0" applyFont="1" applyBorder="1" applyAlignment="1" applyProtection="1">
      <alignment horizontal="center"/>
      <protection locked="0"/>
    </xf>
    <xf numFmtId="0" fontId="24" fillId="0" borderId="19" xfId="0" applyFont="1" applyBorder="1" applyAlignment="1" applyProtection="1">
      <alignment horizontal="left" wrapText="1"/>
      <protection locked="0"/>
    </xf>
    <xf numFmtId="0" fontId="24" fillId="0" borderId="13" xfId="0" applyFont="1" applyBorder="1" applyAlignment="1" applyProtection="1">
      <alignment horizontal="left" wrapText="1"/>
      <protection locked="0"/>
    </xf>
    <xf numFmtId="0" fontId="24" fillId="0" borderId="11" xfId="0" applyFont="1" applyBorder="1" applyAlignment="1" applyProtection="1">
      <alignment horizontal="left" wrapText="1"/>
      <protection locked="0"/>
    </xf>
    <xf numFmtId="0" fontId="101" fillId="70" borderId="11" xfId="0" applyFont="1" applyFill="1" applyBorder="1" applyAlignment="1" applyProtection="1">
      <alignment horizontal="center" wrapText="1"/>
      <protection locked="0"/>
    </xf>
    <xf numFmtId="0" fontId="22" fillId="0" borderId="55" xfId="0" applyFont="1" applyBorder="1" applyAlignment="1" applyProtection="1">
      <alignment horizontal="left" wrapText="1"/>
      <protection locked="0"/>
    </xf>
    <xf numFmtId="0" fontId="24" fillId="53" borderId="52" xfId="0" applyFont="1" applyFill="1" applyBorder="1" applyAlignment="1" applyProtection="1">
      <alignment horizontal="left"/>
      <protection locked="0"/>
    </xf>
    <xf numFmtId="0" fontId="24" fillId="53" borderId="53" xfId="0" applyFont="1" applyFill="1" applyBorder="1" applyAlignment="1" applyProtection="1">
      <alignment horizontal="left"/>
      <protection locked="0"/>
    </xf>
    <xf numFmtId="0" fontId="24" fillId="59" borderId="11" xfId="0" applyFont="1" applyFill="1" applyBorder="1" applyAlignment="1" applyProtection="1">
      <alignment horizontal="center" wrapText="1"/>
      <protection locked="0"/>
    </xf>
    <xf numFmtId="0" fontId="24" fillId="0" borderId="63" xfId="0" applyFont="1" applyBorder="1" applyAlignment="1" applyProtection="1">
      <alignment horizontal="center" wrapText="1"/>
      <protection locked="0"/>
    </xf>
    <xf numFmtId="0" fontId="27" fillId="76" borderId="11" xfId="0" applyFont="1" applyFill="1" applyBorder="1" applyAlignment="1" applyProtection="1">
      <alignment horizontal="left"/>
      <protection locked="0"/>
    </xf>
    <xf numFmtId="0" fontId="115" fillId="53" borderId="60" xfId="0" applyFont="1" applyFill="1" applyBorder="1" applyAlignment="1">
      <alignment horizontal="left"/>
    </xf>
    <xf numFmtId="0" fontId="24" fillId="0" borderId="48" xfId="0" applyFont="1" applyBorder="1" applyAlignment="1" applyProtection="1">
      <alignment horizontal="right" wrapText="1"/>
      <protection locked="0"/>
    </xf>
    <xf numFmtId="49" fontId="118" fillId="71" borderId="0" xfId="0" applyNumberFormat="1" applyFont="1" applyFill="1" applyAlignment="1" applyProtection="1">
      <alignment horizontal="center"/>
      <protection locked="0"/>
    </xf>
    <xf numFmtId="0" fontId="29" fillId="57" borderId="19" xfId="0" applyFont="1" applyFill="1" applyBorder="1" applyAlignment="1" applyProtection="1">
      <alignment horizontal="center" wrapText="1"/>
      <protection locked="0"/>
    </xf>
    <xf numFmtId="0" fontId="29" fillId="57" borderId="13" xfId="0" applyFont="1" applyFill="1" applyBorder="1" applyAlignment="1" applyProtection="1">
      <alignment horizontal="center" wrapText="1"/>
      <protection locked="0"/>
    </xf>
    <xf numFmtId="0" fontId="29" fillId="57" borderId="20" xfId="0" applyFont="1" applyFill="1" applyBorder="1" applyAlignment="1" applyProtection="1">
      <alignment horizontal="center" wrapText="1"/>
      <protection locked="0"/>
    </xf>
    <xf numFmtId="0" fontId="27" fillId="75" borderId="11" xfId="0" applyFont="1" applyFill="1" applyBorder="1" applyAlignment="1" applyProtection="1">
      <alignment horizontal="left"/>
      <protection locked="0"/>
    </xf>
    <xf numFmtId="0" fontId="24" fillId="0" borderId="12" xfId="0" applyFont="1" applyBorder="1" applyAlignment="1" applyProtection="1">
      <alignment horizontal="left" wrapText="1"/>
      <protection locked="0"/>
    </xf>
    <xf numFmtId="0" fontId="30" fillId="77" borderId="11" xfId="0" applyFont="1" applyFill="1" applyBorder="1" applyAlignment="1">
      <alignment horizontal="left"/>
    </xf>
    <xf numFmtId="0" fontId="24" fillId="57" borderId="11" xfId="0" applyFont="1" applyFill="1" applyBorder="1" applyAlignment="1" applyProtection="1">
      <alignment horizontal="left" wrapText="1"/>
      <protection locked="0"/>
    </xf>
    <xf numFmtId="0" fontId="22" fillId="0" borderId="23" xfId="0" applyFont="1" applyBorder="1" applyAlignment="1" applyProtection="1">
      <alignment horizontal="center" wrapText="1"/>
      <protection locked="0"/>
    </xf>
    <xf numFmtId="0" fontId="22" fillId="0" borderId="0" xfId="0" applyFont="1" applyAlignment="1" applyProtection="1">
      <alignment horizontal="center" wrapText="1"/>
      <protection locked="0"/>
    </xf>
    <xf numFmtId="0" fontId="101" fillId="70" borderId="20" xfId="0" applyFont="1" applyFill="1" applyBorder="1" applyAlignment="1" applyProtection="1">
      <alignment horizontal="center" wrapText="1"/>
      <protection locked="0"/>
    </xf>
    <xf numFmtId="0" fontId="24" fillId="0" borderId="0" xfId="0" applyFont="1" applyAlignment="1" applyProtection="1">
      <alignment horizontal="center"/>
      <protection locked="0"/>
    </xf>
    <xf numFmtId="0" fontId="24" fillId="0" borderId="62" xfId="0" applyFont="1" applyBorder="1" applyAlignment="1" applyProtection="1">
      <alignment horizontal="left" wrapText="1"/>
      <protection locked="0"/>
    </xf>
    <xf numFmtId="0" fontId="24" fillId="0" borderId="63" xfId="0" applyFont="1" applyBorder="1" applyAlignment="1" applyProtection="1">
      <alignment horizontal="left" wrapText="1"/>
      <protection locked="0"/>
    </xf>
    <xf numFmtId="0" fontId="30" fillId="56" borderId="13" xfId="0" applyFont="1" applyFill="1" applyBorder="1" applyAlignment="1" applyProtection="1">
      <alignment horizontal="left" wrapText="1"/>
      <protection locked="0"/>
    </xf>
    <xf numFmtId="0" fontId="106" fillId="67" borderId="53" xfId="0" applyFont="1" applyFill="1" applyBorder="1" applyAlignment="1" applyProtection="1">
      <alignment horizontal="center" wrapText="1"/>
      <protection locked="0"/>
    </xf>
    <xf numFmtId="0" fontId="102" fillId="70" borderId="48" xfId="0" applyFont="1" applyFill="1" applyBorder="1" applyAlignment="1" applyProtection="1">
      <alignment horizontal="right" wrapText="1"/>
      <protection locked="0"/>
    </xf>
    <xf numFmtId="0" fontId="102" fillId="70" borderId="70" xfId="0" applyFont="1" applyFill="1" applyBorder="1" applyAlignment="1" applyProtection="1">
      <alignment horizontal="right" wrapText="1"/>
      <protection locked="0"/>
    </xf>
    <xf numFmtId="0" fontId="24" fillId="0" borderId="0" xfId="0" applyFont="1" applyAlignment="1">
      <alignment horizontal="center"/>
    </xf>
    <xf numFmtId="0" fontId="24" fillId="57" borderId="11" xfId="0" applyFont="1" applyFill="1" applyBorder="1" applyAlignment="1" applyProtection="1">
      <alignment horizontal="center" wrapText="1"/>
      <protection locked="0"/>
    </xf>
    <xf numFmtId="0" fontId="24" fillId="0" borderId="11" xfId="0" applyFont="1" applyBorder="1" applyAlignment="1" applyProtection="1">
      <alignment horizontal="left"/>
      <protection locked="0"/>
    </xf>
    <xf numFmtId="0" fontId="115" fillId="53" borderId="11" xfId="0" applyFont="1" applyFill="1" applyBorder="1" applyAlignment="1">
      <alignment horizontal="left"/>
    </xf>
    <xf numFmtId="0" fontId="24" fillId="57" borderId="19" xfId="0" applyFont="1" applyFill="1" applyBorder="1" applyAlignment="1" applyProtection="1">
      <alignment horizontal="left"/>
      <protection locked="0"/>
    </xf>
    <xf numFmtId="0" fontId="24" fillId="57" borderId="13" xfId="0" applyFont="1" applyFill="1" applyBorder="1" applyAlignment="1" applyProtection="1">
      <alignment horizontal="left"/>
      <protection locked="0"/>
    </xf>
    <xf numFmtId="0" fontId="24" fillId="0" borderId="0" xfId="0" applyFont="1" applyAlignment="1" applyProtection="1">
      <alignment horizontal="left"/>
      <protection locked="0"/>
    </xf>
    <xf numFmtId="0" fontId="27" fillId="0" borderId="23" xfId="0" applyFont="1" applyBorder="1" applyAlignment="1" applyProtection="1">
      <alignment horizontal="center" wrapText="1"/>
      <protection locked="0"/>
    </xf>
    <xf numFmtId="0" fontId="27" fillId="0" borderId="0" xfId="0" applyFont="1" applyAlignment="1" applyProtection="1">
      <alignment horizontal="center" wrapText="1"/>
      <protection locked="0"/>
    </xf>
    <xf numFmtId="0" fontId="28" fillId="0" borderId="19" xfId="0" applyFont="1" applyBorder="1" applyAlignment="1" applyProtection="1">
      <alignment horizontal="center"/>
      <protection locked="0"/>
    </xf>
    <xf numFmtId="0" fontId="28" fillId="0" borderId="13" xfId="0" applyFont="1" applyBorder="1" applyAlignment="1" applyProtection="1">
      <alignment horizontal="center"/>
      <protection locked="0"/>
    </xf>
    <xf numFmtId="0" fontId="28" fillId="0" borderId="20" xfId="0" applyFont="1" applyBorder="1" applyAlignment="1" applyProtection="1">
      <alignment horizontal="center"/>
      <protection locked="0"/>
    </xf>
    <xf numFmtId="0" fontId="119" fillId="0" borderId="0" xfId="91" applyFont="1" applyAlignment="1">
      <alignment horizontal="left" vertical="top"/>
    </xf>
    <xf numFmtId="0" fontId="20" fillId="0" borderId="0" xfId="0" applyFont="1" applyAlignment="1">
      <alignment horizontal="left" wrapText="1"/>
    </xf>
    <xf numFmtId="0" fontId="2" fillId="0" borderId="11" xfId="0" applyFont="1" applyBorder="1" applyAlignment="1" applyProtection="1">
      <alignment horizontal="center"/>
      <protection locked="0"/>
    </xf>
    <xf numFmtId="41" fontId="0" fillId="68" borderId="11" xfId="0" applyNumberFormat="1" applyFill="1" applyBorder="1" applyAlignment="1" applyProtection="1">
      <alignment horizontal="center"/>
      <protection locked="0"/>
    </xf>
    <xf numFmtId="0" fontId="2" fillId="68" borderId="19" xfId="0" applyFont="1" applyFill="1" applyBorder="1" applyAlignment="1" applyProtection="1">
      <alignment horizontal="right"/>
      <protection locked="0"/>
    </xf>
    <xf numFmtId="0" fontId="0" fillId="68" borderId="13" xfId="0" applyFill="1" applyBorder="1" applyAlignment="1" applyProtection="1">
      <alignment horizontal="right"/>
      <protection locked="0"/>
    </xf>
    <xf numFmtId="0" fontId="0" fillId="68" borderId="20" xfId="0" applyFill="1" applyBorder="1" applyAlignment="1" applyProtection="1">
      <alignment horizontal="right"/>
      <protection locked="0"/>
    </xf>
    <xf numFmtId="41" fontId="0" fillId="0" borderId="11" xfId="0" applyNumberFormat="1" applyBorder="1" applyAlignment="1" applyProtection="1">
      <alignment horizontal="center"/>
      <protection locked="0"/>
    </xf>
    <xf numFmtId="0" fontId="0" fillId="0" borderId="11" xfId="0" applyBorder="1" applyAlignment="1" applyProtection="1">
      <alignment horizontal="center"/>
      <protection locked="0"/>
    </xf>
    <xf numFmtId="41" fontId="0" fillId="0" borderId="11" xfId="0" applyNumberFormat="1" applyBorder="1" applyAlignment="1">
      <alignment horizontal="center"/>
    </xf>
    <xf numFmtId="0" fontId="128" fillId="0" borderId="0" xfId="118" applyFont="1" applyAlignment="1">
      <alignment horizontal="right"/>
    </xf>
    <xf numFmtId="0" fontId="124" fillId="0" borderId="0" xfId="118" applyFont="1" applyAlignment="1">
      <alignment horizontal="center"/>
    </xf>
    <xf numFmtId="0" fontId="120" fillId="0" borderId="0" xfId="118" applyFont="1" applyAlignment="1">
      <alignment horizontal="left"/>
    </xf>
    <xf numFmtId="0" fontId="9" fillId="0" borderId="0" xfId="92" applyFont="1" applyAlignment="1">
      <alignment horizontal="center"/>
    </xf>
    <xf numFmtId="0" fontId="9" fillId="0" borderId="35" xfId="92" applyFont="1" applyBorder="1" applyAlignment="1">
      <alignment horizontal="center"/>
    </xf>
    <xf numFmtId="0" fontId="11" fillId="0" borderId="36" xfId="92" applyFont="1" applyBorder="1" applyAlignment="1">
      <alignment horizontal="center"/>
    </xf>
    <xf numFmtId="0" fontId="99" fillId="0" borderId="0" xfId="92" applyFont="1" applyAlignment="1">
      <alignment horizontal="center"/>
    </xf>
    <xf numFmtId="0" fontId="12" fillId="0" borderId="12" xfId="92" applyFont="1" applyBorder="1" applyAlignment="1">
      <alignment horizontal="center"/>
    </xf>
    <xf numFmtId="43" fontId="10" fillId="0" borderId="0" xfId="55" applyFont="1" applyAlignment="1">
      <alignment horizontal="center"/>
    </xf>
    <xf numFmtId="0" fontId="12" fillId="0" borderId="0" xfId="92" applyFont="1" applyAlignment="1">
      <alignment horizontal="center"/>
    </xf>
    <xf numFmtId="0" fontId="10" fillId="20" borderId="29" xfId="92" applyFont="1" applyFill="1" applyBorder="1" applyAlignment="1">
      <alignment horizontal="center" vertical="center"/>
    </xf>
    <xf numFmtId="0" fontId="10" fillId="20" borderId="30" xfId="92" applyFont="1" applyFill="1" applyBorder="1" applyAlignment="1">
      <alignment horizontal="center" vertical="center"/>
    </xf>
    <xf numFmtId="0" fontId="10" fillId="20" borderId="31" xfId="92" applyFont="1" applyFill="1" applyBorder="1" applyAlignment="1">
      <alignment horizontal="center" vertical="center"/>
    </xf>
    <xf numFmtId="0" fontId="10" fillId="20" borderId="25" xfId="92" applyFont="1" applyFill="1" applyBorder="1" applyAlignment="1">
      <alignment horizontal="left" vertical="center" wrapText="1"/>
    </xf>
    <xf numFmtId="0" fontId="10" fillId="20" borderId="24" xfId="92" applyFont="1" applyFill="1" applyBorder="1" applyAlignment="1">
      <alignment horizontal="left" vertical="center" wrapText="1"/>
    </xf>
    <xf numFmtId="0" fontId="10" fillId="20" borderId="27" xfId="92" applyFont="1" applyFill="1" applyBorder="1" applyAlignment="1">
      <alignment horizontal="left" vertical="center" wrapText="1"/>
    </xf>
    <xf numFmtId="0" fontId="10" fillId="20" borderId="32" xfId="92" applyFont="1" applyFill="1" applyBorder="1" applyAlignment="1">
      <alignment horizontal="left" wrapText="1"/>
    </xf>
    <xf numFmtId="0" fontId="10" fillId="20" borderId="33" xfId="92" applyFont="1" applyFill="1" applyBorder="1" applyAlignment="1">
      <alignment horizontal="left" wrapText="1"/>
    </xf>
    <xf numFmtId="0" fontId="10" fillId="20" borderId="34" xfId="92" applyFont="1" applyFill="1" applyBorder="1" applyAlignment="1">
      <alignment horizontal="left" wrapText="1"/>
    </xf>
  </cellXfs>
  <cellStyles count="120">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heck Cell" xfId="53" builtinId="23" customBuiltin="1"/>
    <cellStyle name="Check Cell 2" xfId="54" xr:uid="{00000000-0005-0000-0000-000035000000}"/>
    <cellStyle name="Comma" xfId="55" builtinId="3"/>
    <cellStyle name="Comma 2" xfId="56" xr:uid="{00000000-0005-0000-0000-000037000000}"/>
    <cellStyle name="Comma 2 2" xfId="57" xr:uid="{00000000-0005-0000-0000-000038000000}"/>
    <cellStyle name="Comma 2 3" xfId="58" xr:uid="{00000000-0005-0000-0000-000039000000}"/>
    <cellStyle name="Comma 3" xfId="59" xr:uid="{00000000-0005-0000-0000-00003A000000}"/>
    <cellStyle name="Comma 4" xfId="60" xr:uid="{00000000-0005-0000-0000-00003B000000}"/>
    <cellStyle name="Comma 5" xfId="111" xr:uid="{00000000-0005-0000-0000-00003C000000}"/>
    <cellStyle name="Comma 6" xfId="113" xr:uid="{00000000-0005-0000-0000-00003D000000}"/>
    <cellStyle name="Comma0" xfId="61" xr:uid="{00000000-0005-0000-0000-00003E000000}"/>
    <cellStyle name="Currency" xfId="62" builtinId="4"/>
    <cellStyle name="Currency 2" xfId="63" xr:uid="{00000000-0005-0000-0000-000040000000}"/>
    <cellStyle name="Currency 3" xfId="117" xr:uid="{11FD7CDE-74AE-400B-9AF6-EA611C2445ED}"/>
    <cellStyle name="Currency0" xfId="64" xr:uid="{00000000-0005-0000-0000-000041000000}"/>
    <cellStyle name="Date" xfId="65" xr:uid="{00000000-0005-0000-0000-000042000000}"/>
    <cellStyle name="Explanatory Text" xfId="66" builtinId="53" customBuiltin="1"/>
    <cellStyle name="Explanatory Text 2" xfId="67" xr:uid="{00000000-0005-0000-0000-000044000000}"/>
    <cellStyle name="Fixed" xfId="68" xr:uid="{00000000-0005-0000-0000-000045000000}"/>
    <cellStyle name="Good" xfId="69" builtinId="26" customBuiltin="1"/>
    <cellStyle name="Good 2" xfId="70" xr:uid="{00000000-0005-0000-0000-000047000000}"/>
    <cellStyle name="Heading 1" xfId="71" builtinId="16" customBuiltin="1"/>
    <cellStyle name="Heading 1 2" xfId="72" xr:uid="{00000000-0005-0000-0000-000049000000}"/>
    <cellStyle name="Heading 1 3" xfId="73" xr:uid="{00000000-0005-0000-0000-00004A000000}"/>
    <cellStyle name="Heading 2" xfId="74" builtinId="17" customBuiltin="1"/>
    <cellStyle name="Heading 2 2" xfId="75" xr:uid="{00000000-0005-0000-0000-00004C000000}"/>
    <cellStyle name="Heading 2 3" xfId="76" xr:uid="{00000000-0005-0000-0000-00004D000000}"/>
    <cellStyle name="Heading 3" xfId="77" builtinId="18" customBuiltin="1"/>
    <cellStyle name="Heading 3 2" xfId="78" xr:uid="{00000000-0005-0000-0000-00004F000000}"/>
    <cellStyle name="Heading 4" xfId="79" builtinId="19" customBuiltin="1"/>
    <cellStyle name="Heading 4 2" xfId="80" xr:uid="{00000000-0005-0000-0000-000051000000}"/>
    <cellStyle name="HEADING1" xfId="81" xr:uid="{00000000-0005-0000-0000-000052000000}"/>
    <cellStyle name="HEADING2" xfId="82" xr:uid="{00000000-0005-0000-0000-000053000000}"/>
    <cellStyle name="Input" xfId="83" builtinId="20" customBuiltin="1"/>
    <cellStyle name="Input 2" xfId="84" xr:uid="{00000000-0005-0000-0000-000055000000}"/>
    <cellStyle name="Linked Cell" xfId="85" builtinId="24" customBuiltin="1"/>
    <cellStyle name="Linked Cell 2" xfId="86" xr:uid="{00000000-0005-0000-0000-000057000000}"/>
    <cellStyle name="Moeda [0]_24-28" xfId="87" xr:uid="{00000000-0005-0000-0000-000058000000}"/>
    <cellStyle name="Moeda_24-28" xfId="88" xr:uid="{00000000-0005-0000-0000-000059000000}"/>
    <cellStyle name="Neutral" xfId="89" builtinId="28" customBuiltin="1"/>
    <cellStyle name="Neutral 2" xfId="90" xr:uid="{00000000-0005-0000-0000-00005B000000}"/>
    <cellStyle name="Normal" xfId="0" builtinId="0"/>
    <cellStyle name="Normal 10" xfId="118" xr:uid="{D3FFE336-9DF6-42ED-A4B6-4EC94976C550}"/>
    <cellStyle name="Normal 2" xfId="91" xr:uid="{00000000-0005-0000-0000-00005D000000}"/>
    <cellStyle name="Normal 2 2" xfId="92" xr:uid="{00000000-0005-0000-0000-00005E000000}"/>
    <cellStyle name="Normal 2 3" xfId="93" xr:uid="{00000000-0005-0000-0000-00005F000000}"/>
    <cellStyle name="Normal 2 4" xfId="116" xr:uid="{BBC0D9CB-FF39-4809-A8F2-4B99680BABF8}"/>
    <cellStyle name="Normal 3" xfId="94" xr:uid="{00000000-0005-0000-0000-000060000000}"/>
    <cellStyle name="Normal 4" xfId="95" xr:uid="{00000000-0005-0000-0000-000061000000}"/>
    <cellStyle name="Normal 5" xfId="96" xr:uid="{00000000-0005-0000-0000-000062000000}"/>
    <cellStyle name="Normal 6" xfId="97" xr:uid="{00000000-0005-0000-0000-000063000000}"/>
    <cellStyle name="Normal 7" xfId="98" xr:uid="{00000000-0005-0000-0000-000064000000}"/>
    <cellStyle name="Normal 8" xfId="112" xr:uid="{00000000-0005-0000-0000-000065000000}"/>
    <cellStyle name="Normal 9" xfId="114" xr:uid="{0817B4A4-937D-49E2-A2B2-1885997330CC}"/>
    <cellStyle name="Note 2" xfId="99" xr:uid="{00000000-0005-0000-0000-000066000000}"/>
    <cellStyle name="Note 2 2" xfId="100" xr:uid="{00000000-0005-0000-0000-000067000000}"/>
    <cellStyle name="Output" xfId="101" builtinId="21" customBuiltin="1"/>
    <cellStyle name="Output 2" xfId="102" xr:uid="{00000000-0005-0000-0000-000069000000}"/>
    <cellStyle name="Percent" xfId="103" builtinId="5"/>
    <cellStyle name="Percent 2" xfId="115" xr:uid="{574B228F-77D5-4AF0-B7E3-781388AB269C}"/>
    <cellStyle name="Percent 3" xfId="119" xr:uid="{5CF6CE7E-223F-4397-AE6D-9CB6DF5E6AAD}"/>
    <cellStyle name="Title" xfId="104" builtinId="15" customBuiltin="1"/>
    <cellStyle name="Title 2" xfId="105" xr:uid="{00000000-0005-0000-0000-00006C000000}"/>
    <cellStyle name="Total" xfId="106" builtinId="25" customBuiltin="1"/>
    <cellStyle name="Total 2" xfId="107" xr:uid="{00000000-0005-0000-0000-00006E000000}"/>
    <cellStyle name="Total 3" xfId="108" xr:uid="{00000000-0005-0000-0000-00006F000000}"/>
    <cellStyle name="Warning Text" xfId="109" builtinId="11" customBuiltin="1"/>
    <cellStyle name="Warning Text 2" xfId="110" xr:uid="{00000000-0005-0000-0000-000071000000}"/>
  </cellStyles>
  <dxfs count="6">
    <dxf>
      <font>
        <color theme="0"/>
      </font>
    </dxf>
    <dxf>
      <font>
        <color theme="0"/>
      </font>
    </dxf>
    <dxf>
      <fill>
        <patternFill>
          <bgColor indexed="45"/>
        </patternFill>
      </fill>
    </dxf>
    <dxf>
      <fill>
        <patternFill>
          <bgColor indexed="42"/>
        </patternFill>
      </fill>
    </dxf>
    <dxf>
      <fill>
        <patternFill>
          <bgColor indexed="45"/>
        </patternFill>
      </fill>
    </dxf>
    <dxf>
      <fill>
        <patternFill>
          <bgColor indexed="42"/>
        </patternFill>
      </fill>
    </dxf>
  </dxfs>
  <tableStyles count="0" defaultTableStyle="TableStyleMedium9" defaultPivotStyle="PivotStyleLight16"/>
  <colors>
    <mruColors>
      <color rgb="FFFF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1.xml"/><Relationship Id="rId30"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1" Type="http://schemas.openxmlformats.org/officeDocument/2006/relationships/image" Target="../media/image1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14</xdr:col>
      <xdr:colOff>0</xdr:colOff>
      <xdr:row>0</xdr:row>
      <xdr:rowOff>0</xdr:rowOff>
    </xdr:from>
    <xdr:to>
      <xdr:col>24</xdr:col>
      <xdr:colOff>524799</xdr:colOff>
      <xdr:row>23</xdr:row>
      <xdr:rowOff>105441</xdr:rowOff>
    </xdr:to>
    <xdr:pic>
      <xdr:nvPicPr>
        <xdr:cNvPr id="2" name="Picture 1">
          <a:extLst>
            <a:ext uri="{FF2B5EF4-FFF2-40B4-BE49-F238E27FC236}">
              <a16:creationId xmlns:a16="http://schemas.microsoft.com/office/drawing/2014/main" id="{5E4CDC33-877A-47CE-B661-B83D5C7E1196}"/>
            </a:ext>
          </a:extLst>
        </xdr:cNvPr>
        <xdr:cNvPicPr>
          <a:picLocks noChangeAspect="1"/>
        </xdr:cNvPicPr>
      </xdr:nvPicPr>
      <xdr:blipFill>
        <a:blip xmlns:r="http://schemas.openxmlformats.org/officeDocument/2006/relationships" r:embed="rId1"/>
        <a:stretch>
          <a:fillRect/>
        </a:stretch>
      </xdr:blipFill>
      <xdr:spPr>
        <a:xfrm>
          <a:off x="8743950" y="0"/>
          <a:ext cx="6620799" cy="4772691"/>
        </a:xfrm>
        <a:prstGeom prst="rect">
          <a:avLst/>
        </a:prstGeom>
      </xdr:spPr>
    </xdr:pic>
    <xdr:clientData/>
  </xdr:twoCellAnchor>
  <xdr:twoCellAnchor editAs="oneCell">
    <xdr:from>
      <xdr:col>14</xdr:col>
      <xdr:colOff>0</xdr:colOff>
      <xdr:row>0</xdr:row>
      <xdr:rowOff>0</xdr:rowOff>
    </xdr:from>
    <xdr:to>
      <xdr:col>25</xdr:col>
      <xdr:colOff>267673</xdr:colOff>
      <xdr:row>28</xdr:row>
      <xdr:rowOff>57949</xdr:rowOff>
    </xdr:to>
    <xdr:pic>
      <xdr:nvPicPr>
        <xdr:cNvPr id="3" name="Picture 2">
          <a:extLst>
            <a:ext uri="{FF2B5EF4-FFF2-40B4-BE49-F238E27FC236}">
              <a16:creationId xmlns:a16="http://schemas.microsoft.com/office/drawing/2014/main" id="{652A5AE8-2834-4FC9-8E67-C830E8F138F5}"/>
            </a:ext>
          </a:extLst>
        </xdr:cNvPr>
        <xdr:cNvPicPr>
          <a:picLocks noChangeAspect="1"/>
        </xdr:cNvPicPr>
      </xdr:nvPicPr>
      <xdr:blipFill>
        <a:blip xmlns:r="http://schemas.openxmlformats.org/officeDocument/2006/relationships" r:embed="rId2"/>
        <a:stretch>
          <a:fillRect/>
        </a:stretch>
      </xdr:blipFill>
      <xdr:spPr>
        <a:xfrm>
          <a:off x="8743950" y="0"/>
          <a:ext cx="6973273" cy="57253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0</xdr:colOff>
      <xdr:row>0</xdr:row>
      <xdr:rowOff>0</xdr:rowOff>
    </xdr:from>
    <xdr:to>
      <xdr:col>24</xdr:col>
      <xdr:colOff>486694</xdr:colOff>
      <xdr:row>23</xdr:row>
      <xdr:rowOff>181652</xdr:rowOff>
    </xdr:to>
    <xdr:pic>
      <xdr:nvPicPr>
        <xdr:cNvPr id="3" name="Picture 2">
          <a:extLst>
            <a:ext uri="{FF2B5EF4-FFF2-40B4-BE49-F238E27FC236}">
              <a16:creationId xmlns:a16="http://schemas.microsoft.com/office/drawing/2014/main" id="{3F595AF4-941F-48A2-A0EA-42502B70CF6F}"/>
            </a:ext>
          </a:extLst>
        </xdr:cNvPr>
        <xdr:cNvPicPr>
          <a:picLocks noChangeAspect="1"/>
        </xdr:cNvPicPr>
      </xdr:nvPicPr>
      <xdr:blipFill>
        <a:blip xmlns:r="http://schemas.openxmlformats.org/officeDocument/2006/relationships" r:embed="rId1"/>
        <a:stretch>
          <a:fillRect/>
        </a:stretch>
      </xdr:blipFill>
      <xdr:spPr>
        <a:xfrm>
          <a:off x="8743950" y="0"/>
          <a:ext cx="6582694" cy="4848902"/>
        </a:xfrm>
        <a:prstGeom prst="rect">
          <a:avLst/>
        </a:prstGeom>
      </xdr:spPr>
    </xdr:pic>
    <xdr:clientData/>
  </xdr:twoCellAnchor>
  <xdr:twoCellAnchor editAs="oneCell">
    <xdr:from>
      <xdr:col>0</xdr:col>
      <xdr:colOff>0</xdr:colOff>
      <xdr:row>23</xdr:row>
      <xdr:rowOff>0</xdr:rowOff>
    </xdr:from>
    <xdr:to>
      <xdr:col>12</xdr:col>
      <xdr:colOff>334641</xdr:colOff>
      <xdr:row>26</xdr:row>
      <xdr:rowOff>85821</xdr:rowOff>
    </xdr:to>
    <xdr:pic>
      <xdr:nvPicPr>
        <xdr:cNvPr id="4" name="Picture 3">
          <a:extLst>
            <a:ext uri="{FF2B5EF4-FFF2-40B4-BE49-F238E27FC236}">
              <a16:creationId xmlns:a16="http://schemas.microsoft.com/office/drawing/2014/main" id="{B7A0CE9F-3019-4196-8409-B9FA577EDF41}"/>
            </a:ext>
          </a:extLst>
        </xdr:cNvPr>
        <xdr:cNvPicPr>
          <a:picLocks noChangeAspect="1"/>
        </xdr:cNvPicPr>
      </xdr:nvPicPr>
      <xdr:blipFill>
        <a:blip xmlns:r="http://schemas.openxmlformats.org/officeDocument/2006/relationships" r:embed="rId2"/>
        <a:stretch>
          <a:fillRect/>
        </a:stretch>
      </xdr:blipFill>
      <xdr:spPr>
        <a:xfrm>
          <a:off x="0" y="4457700"/>
          <a:ext cx="9069066" cy="685896"/>
        </a:xfrm>
        <a:prstGeom prst="rect">
          <a:avLst/>
        </a:prstGeom>
      </xdr:spPr>
    </xdr:pic>
    <xdr:clientData/>
  </xdr:twoCellAnchor>
  <xdr:twoCellAnchor editAs="oneCell">
    <xdr:from>
      <xdr:col>14</xdr:col>
      <xdr:colOff>0</xdr:colOff>
      <xdr:row>0</xdr:row>
      <xdr:rowOff>0</xdr:rowOff>
    </xdr:from>
    <xdr:to>
      <xdr:col>25</xdr:col>
      <xdr:colOff>248620</xdr:colOff>
      <xdr:row>27</xdr:row>
      <xdr:rowOff>48395</xdr:rowOff>
    </xdr:to>
    <xdr:pic>
      <xdr:nvPicPr>
        <xdr:cNvPr id="2" name="Picture 1">
          <a:extLst>
            <a:ext uri="{FF2B5EF4-FFF2-40B4-BE49-F238E27FC236}">
              <a16:creationId xmlns:a16="http://schemas.microsoft.com/office/drawing/2014/main" id="{36EB2522-FA04-4B0D-85D5-33B480258DCD}"/>
            </a:ext>
          </a:extLst>
        </xdr:cNvPr>
        <xdr:cNvPicPr>
          <a:picLocks noChangeAspect="1"/>
        </xdr:cNvPicPr>
      </xdr:nvPicPr>
      <xdr:blipFill>
        <a:blip xmlns:r="http://schemas.openxmlformats.org/officeDocument/2006/relationships" r:embed="rId3"/>
        <a:stretch>
          <a:fillRect/>
        </a:stretch>
      </xdr:blipFill>
      <xdr:spPr>
        <a:xfrm>
          <a:off x="8743950" y="0"/>
          <a:ext cx="6954220" cy="5515745"/>
        </a:xfrm>
        <a:prstGeom prst="rect">
          <a:avLst/>
        </a:prstGeom>
      </xdr:spPr>
    </xdr:pic>
    <xdr:clientData/>
  </xdr:twoCellAnchor>
  <xdr:twoCellAnchor editAs="oneCell">
    <xdr:from>
      <xdr:col>14</xdr:col>
      <xdr:colOff>0</xdr:colOff>
      <xdr:row>29</xdr:row>
      <xdr:rowOff>0</xdr:rowOff>
    </xdr:from>
    <xdr:to>
      <xdr:col>26</xdr:col>
      <xdr:colOff>382074</xdr:colOff>
      <xdr:row>45</xdr:row>
      <xdr:rowOff>38552</xdr:rowOff>
    </xdr:to>
    <xdr:pic>
      <xdr:nvPicPr>
        <xdr:cNvPr id="5" name="Picture 4">
          <a:extLst>
            <a:ext uri="{FF2B5EF4-FFF2-40B4-BE49-F238E27FC236}">
              <a16:creationId xmlns:a16="http://schemas.microsoft.com/office/drawing/2014/main" id="{B6F9E12C-43E9-41C6-875C-0C8D7F4CED06}"/>
            </a:ext>
          </a:extLst>
        </xdr:cNvPr>
        <xdr:cNvPicPr>
          <a:picLocks noChangeAspect="1"/>
        </xdr:cNvPicPr>
      </xdr:nvPicPr>
      <xdr:blipFill>
        <a:blip xmlns:r="http://schemas.openxmlformats.org/officeDocument/2006/relationships" r:embed="rId4"/>
        <a:stretch>
          <a:fillRect/>
        </a:stretch>
      </xdr:blipFill>
      <xdr:spPr>
        <a:xfrm>
          <a:off x="8743950" y="5657850"/>
          <a:ext cx="7697274" cy="32389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14</xdr:col>
      <xdr:colOff>95250</xdr:colOff>
      <xdr:row>0</xdr:row>
      <xdr:rowOff>0</xdr:rowOff>
    </xdr:from>
    <xdr:ext cx="6620799" cy="4772691"/>
    <xdr:pic>
      <xdr:nvPicPr>
        <xdr:cNvPr id="2" name="Picture 2">
          <a:extLst>
            <a:ext uri="{FF2B5EF4-FFF2-40B4-BE49-F238E27FC236}">
              <a16:creationId xmlns:a16="http://schemas.microsoft.com/office/drawing/2014/main" id="{CADFDBD6-E8B9-4184-835A-7E20FF5D1CF1}"/>
            </a:ext>
          </a:extLst>
        </xdr:cNvPr>
        <xdr:cNvPicPr>
          <a:picLocks noChangeAspect="1"/>
        </xdr:cNvPicPr>
      </xdr:nvPicPr>
      <xdr:blipFill>
        <a:blip xmlns:r="http://schemas.openxmlformats.org/officeDocument/2006/relationships" r:embed="rId1"/>
        <a:stretch>
          <a:fillRect/>
        </a:stretch>
      </xdr:blipFill>
      <xdr:spPr>
        <a:xfrm>
          <a:off x="8629650" y="0"/>
          <a:ext cx="6620799" cy="4772691"/>
        </a:xfrm>
        <a:prstGeom prst="rect">
          <a:avLst/>
        </a:prstGeom>
      </xdr:spPr>
    </xdr:pic>
    <xdr:clientData/>
  </xdr:oneCellAnchor>
  <xdr:oneCellAnchor>
    <xdr:from>
      <xdr:col>13</xdr:col>
      <xdr:colOff>381000</xdr:colOff>
      <xdr:row>0</xdr:row>
      <xdr:rowOff>0</xdr:rowOff>
    </xdr:from>
    <xdr:ext cx="6973273" cy="5725324"/>
    <xdr:pic>
      <xdr:nvPicPr>
        <xdr:cNvPr id="3" name="Picture 2">
          <a:extLst>
            <a:ext uri="{FF2B5EF4-FFF2-40B4-BE49-F238E27FC236}">
              <a16:creationId xmlns:a16="http://schemas.microsoft.com/office/drawing/2014/main" id="{A6C5A117-8F30-47A1-A87F-1204FB34F24B}"/>
            </a:ext>
          </a:extLst>
        </xdr:cNvPr>
        <xdr:cNvPicPr>
          <a:picLocks noChangeAspect="1"/>
        </xdr:cNvPicPr>
      </xdr:nvPicPr>
      <xdr:blipFill>
        <a:blip xmlns:r="http://schemas.openxmlformats.org/officeDocument/2006/relationships" r:embed="rId2"/>
        <a:stretch>
          <a:fillRect/>
        </a:stretch>
      </xdr:blipFill>
      <xdr:spPr>
        <a:xfrm>
          <a:off x="8305800" y="0"/>
          <a:ext cx="6973273" cy="572532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20</xdr:col>
      <xdr:colOff>296252</xdr:colOff>
      <xdr:row>49</xdr:row>
      <xdr:rowOff>153529</xdr:rowOff>
    </xdr:to>
    <xdr:pic>
      <xdr:nvPicPr>
        <xdr:cNvPr id="7" name="Picture 6">
          <a:extLst>
            <a:ext uri="{FF2B5EF4-FFF2-40B4-BE49-F238E27FC236}">
              <a16:creationId xmlns:a16="http://schemas.microsoft.com/office/drawing/2014/main" id="{890F5A7D-F632-420E-A731-A05C727812E2}"/>
            </a:ext>
          </a:extLst>
        </xdr:cNvPr>
        <xdr:cNvPicPr>
          <a:picLocks noChangeAspect="1"/>
        </xdr:cNvPicPr>
      </xdr:nvPicPr>
      <xdr:blipFill>
        <a:blip xmlns:r="http://schemas.openxmlformats.org/officeDocument/2006/relationships" r:embed="rId1"/>
        <a:stretch>
          <a:fillRect/>
        </a:stretch>
      </xdr:blipFill>
      <xdr:spPr>
        <a:xfrm>
          <a:off x="7810500" y="0"/>
          <a:ext cx="7001852" cy="8087854"/>
        </a:xfrm>
        <a:prstGeom prst="rect">
          <a:avLst/>
        </a:prstGeom>
      </xdr:spPr>
    </xdr:pic>
    <xdr:clientData/>
  </xdr:twoCellAnchor>
  <xdr:twoCellAnchor editAs="oneCell">
    <xdr:from>
      <xdr:col>9</xdr:col>
      <xdr:colOff>0</xdr:colOff>
      <xdr:row>50</xdr:row>
      <xdr:rowOff>0</xdr:rowOff>
    </xdr:from>
    <xdr:to>
      <xdr:col>20</xdr:col>
      <xdr:colOff>123825</xdr:colOff>
      <xdr:row>103</xdr:row>
      <xdr:rowOff>7453</xdr:rowOff>
    </xdr:to>
    <xdr:pic>
      <xdr:nvPicPr>
        <xdr:cNvPr id="8" name="Picture 7">
          <a:extLst>
            <a:ext uri="{FF2B5EF4-FFF2-40B4-BE49-F238E27FC236}">
              <a16:creationId xmlns:a16="http://schemas.microsoft.com/office/drawing/2014/main" id="{BACFA383-5B0A-4298-836A-B338C874A0DF}"/>
            </a:ext>
          </a:extLst>
        </xdr:cNvPr>
        <xdr:cNvPicPr>
          <a:picLocks noChangeAspect="1"/>
        </xdr:cNvPicPr>
      </xdr:nvPicPr>
      <xdr:blipFill>
        <a:blip xmlns:r="http://schemas.openxmlformats.org/officeDocument/2006/relationships" r:embed="rId2"/>
        <a:stretch>
          <a:fillRect/>
        </a:stretch>
      </xdr:blipFill>
      <xdr:spPr>
        <a:xfrm>
          <a:off x="7810500" y="8096250"/>
          <a:ext cx="6829425" cy="8589478"/>
        </a:xfrm>
        <a:prstGeom prst="rect">
          <a:avLst/>
        </a:prstGeom>
      </xdr:spPr>
    </xdr:pic>
    <xdr:clientData/>
  </xdr:twoCellAnchor>
  <xdr:twoCellAnchor editAs="oneCell">
    <xdr:from>
      <xdr:col>9</xdr:col>
      <xdr:colOff>0</xdr:colOff>
      <xdr:row>103</xdr:row>
      <xdr:rowOff>0</xdr:rowOff>
    </xdr:from>
    <xdr:to>
      <xdr:col>19</xdr:col>
      <xdr:colOff>143746</xdr:colOff>
      <xdr:row>152</xdr:row>
      <xdr:rowOff>124950</xdr:rowOff>
    </xdr:to>
    <xdr:pic>
      <xdr:nvPicPr>
        <xdr:cNvPr id="9" name="Picture 8">
          <a:extLst>
            <a:ext uri="{FF2B5EF4-FFF2-40B4-BE49-F238E27FC236}">
              <a16:creationId xmlns:a16="http://schemas.microsoft.com/office/drawing/2014/main" id="{4EE55E10-056C-4144-B2B1-CCA3B2CD4735}"/>
            </a:ext>
          </a:extLst>
        </xdr:cNvPr>
        <xdr:cNvPicPr>
          <a:picLocks noChangeAspect="1"/>
        </xdr:cNvPicPr>
      </xdr:nvPicPr>
      <xdr:blipFill>
        <a:blip xmlns:r="http://schemas.openxmlformats.org/officeDocument/2006/relationships" r:embed="rId3"/>
        <a:stretch>
          <a:fillRect/>
        </a:stretch>
      </xdr:blipFill>
      <xdr:spPr>
        <a:xfrm>
          <a:off x="7810500" y="16678275"/>
          <a:ext cx="6239746" cy="80592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914400</xdr:colOff>
      <xdr:row>1</xdr:row>
      <xdr:rowOff>0</xdr:rowOff>
    </xdr:from>
    <xdr:to>
      <xdr:col>16</xdr:col>
      <xdr:colOff>582191</xdr:colOff>
      <xdr:row>30</xdr:row>
      <xdr:rowOff>67586</xdr:rowOff>
    </xdr:to>
    <xdr:pic>
      <xdr:nvPicPr>
        <xdr:cNvPr id="2" name="Picture 1">
          <a:extLst>
            <a:ext uri="{FF2B5EF4-FFF2-40B4-BE49-F238E27FC236}">
              <a16:creationId xmlns:a16="http://schemas.microsoft.com/office/drawing/2014/main" id="{F65321D1-F027-438F-BE8A-77F2370A8440}"/>
            </a:ext>
          </a:extLst>
        </xdr:cNvPr>
        <xdr:cNvPicPr>
          <a:picLocks noChangeAspect="1"/>
        </xdr:cNvPicPr>
      </xdr:nvPicPr>
      <xdr:blipFill>
        <a:blip xmlns:r="http://schemas.openxmlformats.org/officeDocument/2006/relationships" r:embed="rId1"/>
        <a:stretch>
          <a:fillRect/>
        </a:stretch>
      </xdr:blipFill>
      <xdr:spPr>
        <a:xfrm>
          <a:off x="8505825" y="200025"/>
          <a:ext cx="8354591" cy="652553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123825</xdr:colOff>
      <xdr:row>2</xdr:row>
      <xdr:rowOff>152400</xdr:rowOff>
    </xdr:from>
    <xdr:to>
      <xdr:col>30</xdr:col>
      <xdr:colOff>221152</xdr:colOff>
      <xdr:row>19</xdr:row>
      <xdr:rowOff>38468</xdr:rowOff>
    </xdr:to>
    <xdr:pic>
      <xdr:nvPicPr>
        <xdr:cNvPr id="3" name="Picture 2">
          <a:extLst>
            <a:ext uri="{FF2B5EF4-FFF2-40B4-BE49-F238E27FC236}">
              <a16:creationId xmlns:a16="http://schemas.microsoft.com/office/drawing/2014/main" id="{4915EEF1-75C1-E293-68CC-ECB6B3AF5EB5}"/>
            </a:ext>
          </a:extLst>
        </xdr:cNvPr>
        <xdr:cNvPicPr>
          <a:picLocks noChangeAspect="1"/>
        </xdr:cNvPicPr>
      </xdr:nvPicPr>
      <xdr:blipFill>
        <a:blip xmlns:r="http://schemas.openxmlformats.org/officeDocument/2006/relationships" r:embed="rId1"/>
        <a:stretch>
          <a:fillRect/>
        </a:stretch>
      </xdr:blipFill>
      <xdr:spPr>
        <a:xfrm>
          <a:off x="4095750" y="476250"/>
          <a:ext cx="14880127" cy="263879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200025</xdr:colOff>
      <xdr:row>0</xdr:row>
      <xdr:rowOff>57150</xdr:rowOff>
    </xdr:from>
    <xdr:to>
      <xdr:col>25</xdr:col>
      <xdr:colOff>439744</xdr:colOff>
      <xdr:row>19</xdr:row>
      <xdr:rowOff>581</xdr:rowOff>
    </xdr:to>
    <xdr:pic>
      <xdr:nvPicPr>
        <xdr:cNvPr id="2" name="Picture 1">
          <a:extLst>
            <a:ext uri="{FF2B5EF4-FFF2-40B4-BE49-F238E27FC236}">
              <a16:creationId xmlns:a16="http://schemas.microsoft.com/office/drawing/2014/main" id="{4612715C-FD3B-023C-C483-80F5FB70333F}"/>
            </a:ext>
          </a:extLst>
        </xdr:cNvPr>
        <xdr:cNvPicPr>
          <a:picLocks noChangeAspect="1"/>
        </xdr:cNvPicPr>
      </xdr:nvPicPr>
      <xdr:blipFill>
        <a:blip xmlns:r="http://schemas.openxmlformats.org/officeDocument/2006/relationships" r:embed="rId1"/>
        <a:stretch>
          <a:fillRect/>
        </a:stretch>
      </xdr:blipFill>
      <xdr:spPr>
        <a:xfrm>
          <a:off x="8448675" y="57150"/>
          <a:ext cx="11422069" cy="416300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1125575" cy="190527"/>
    <xdr:pic>
      <xdr:nvPicPr>
        <xdr:cNvPr id="2" name="Picture 1">
          <a:extLst>
            <a:ext uri="{FF2B5EF4-FFF2-40B4-BE49-F238E27FC236}">
              <a16:creationId xmlns:a16="http://schemas.microsoft.com/office/drawing/2014/main" id="{BD537DAD-7C95-4FBC-AE8B-7471373790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25575" cy="190527"/>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studentrcc.sharepoint.com/sites/NORCOBUSINESSSERVICES/Shared%20Documents/NC%20Budget%20and%20Planning%20Manual/PLANNING%20&amp;%20BUDGET%20MANUAL/22-23%20Planning%20and%20Budget%20Manual/TCO-Spreadsheet%20FY%2022-23%20Final%20to%20be%20approved%20by%20EA.xlsx" TargetMode="External"/><Relationship Id="rId2" Type="http://schemas.microsoft.com/office/2019/04/relationships/externalLinkLongPath" Target="https://studentrcc.sharepoint.com/sites/NORCOBUSINESSSERVICES/Shared%20Documents/NC%20Budget%20and%20Planning%20Manual/PLANNING%20&amp;%20BUDGET%20MANUAL/22-23%20Planning%20and%20Budget%20Manual/TCO-Spreadsheet%20FY%2022-23%20Final%20to%20be%20approved%20by%20EA.xlsx?508336F8" TargetMode="External"/><Relationship Id="rId1" Type="http://schemas.openxmlformats.org/officeDocument/2006/relationships/externalLinkPath" Target="file:///\\508336F8\TCO-Spreadsheet%20FY%2022-23%20Final%20to%20be%20approved%20by%20EA.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eabejar\Downloads\TCP%20Workbook%20FY25-26%20FINAL.xlsx" TargetMode="External"/><Relationship Id="rId1" Type="http://schemas.openxmlformats.org/officeDocument/2006/relationships/externalLinkPath" Target="TCP%20Workbook%20FY25-26%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How to Use the Workbook"/>
      <sheetName val="Summary"/>
      <sheetName val="TCO Estimator"/>
      <sheetName val="Administrator Job Titles"/>
      <sheetName val="Classified Job Titles"/>
      <sheetName val="Short Term NonClassified Titles"/>
      <sheetName val="TCP Full Time Fac"/>
      <sheetName val="TCP Full Time CounsLib"/>
      <sheetName val="TCP Assoc Fac"/>
      <sheetName val="Student Employment"/>
      <sheetName val="Technology"/>
      <sheetName val="Utilities"/>
      <sheetName val="M &amp; O Standards"/>
      <sheetName val="FUSION GSF BY LOCATION"/>
      <sheetName val="bldg_summary All 2.8.23"/>
      <sheetName val="RATE SHEET"/>
      <sheetName val="NOTES"/>
      <sheetName val="VFS Utilities - FY 212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w to Use the Workbook"/>
      <sheetName val="Total Cost of Position"/>
      <sheetName val="Classified Salary Schedule"/>
      <sheetName val="CL Confidential Salary Schedule"/>
      <sheetName val="Administrator Job Titles"/>
      <sheetName val="Short Term NonClassified Titles"/>
      <sheetName val="TCP Full Time Fac"/>
      <sheetName val="TCP Full Time CounsLib"/>
      <sheetName val="TCP Assoc Fac"/>
      <sheetName val="Student Employment"/>
      <sheetName val="RATE SHEET"/>
      <sheetName val="NOTES"/>
    </sheetNames>
    <sheetDataSet>
      <sheetData sheetId="0"/>
      <sheetData sheetId="1">
        <row r="5">
          <cell r="F5">
            <v>42790</v>
          </cell>
        </row>
      </sheetData>
      <sheetData sheetId="2"/>
      <sheetData sheetId="3"/>
      <sheetData sheetId="4"/>
      <sheetData sheetId="5"/>
      <sheetData sheetId="6"/>
      <sheetData sheetId="7"/>
      <sheetData sheetId="8"/>
      <sheetData sheetId="9"/>
      <sheetData sheetId="10">
        <row r="8">
          <cell r="B8">
            <v>1.4500000000000001E-2</v>
          </cell>
        </row>
        <row r="9">
          <cell r="B9">
            <v>5.0000000000000001E-4</v>
          </cell>
        </row>
        <row r="10">
          <cell r="B10">
            <v>1.6E-2</v>
          </cell>
        </row>
        <row r="11">
          <cell r="B11">
            <v>2E-3</v>
          </cell>
        </row>
        <row r="19">
          <cell r="B19">
            <v>42151.799999999996</v>
          </cell>
        </row>
      </sheetData>
      <sheetData sheetId="11"/>
    </sheetDataSet>
  </externalBook>
</externalLink>
</file>

<file path=xl/persons/person.xml><?xml version="1.0" encoding="utf-8"?>
<personList xmlns="http://schemas.microsoft.com/office/spreadsheetml/2018/threadedcomments" xmlns:x="http://schemas.openxmlformats.org/spreadsheetml/2006/main">
  <person displayName="Duenas, Jonnathan" id="{99FA1DBA-0F52-46DF-9B49-52971E1FDBE3}" userId="S::Jonnathan.Duenas@norcocollege.edu::59e9dfbd-9fb8-4a93-a899-fa6b0b66280a"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4" dT="2025-12-09T22:58:19.71" personId="{99FA1DBA-0F52-46DF-9B49-52971E1FDBE3}" id="{392B4404-EF80-43A8-920D-3AB604CE0663}">
    <text>assumes employee is on STRS &amp; DD, Jefferson Life, RCCD</text>
  </threadedComment>
  <threadedComment ref="I5" dT="2025-12-09T22:58:07.70" personId="{99FA1DBA-0F52-46DF-9B49-52971E1FDBE3}" id="{450D0A07-51BF-4C21-9038-32AD852BD909}">
    <text>assumes employee is on PERS &amp; DD, Jefferson Life, RCCD</text>
  </threadedComment>
</ThreadedComment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13.bin"/><Relationship Id="rId4" Type="http://schemas.openxmlformats.org/officeDocument/2006/relationships/comments" Target="../comments2.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39997558519241921"/>
  </sheetPr>
  <dimension ref="A2:A30"/>
  <sheetViews>
    <sheetView workbookViewId="0"/>
  </sheetViews>
  <sheetFormatPr defaultRowHeight="13.2" x14ac:dyDescent="0.25"/>
  <sheetData>
    <row r="2" spans="1:1" x14ac:dyDescent="0.25">
      <c r="A2" s="71" t="s">
        <v>0</v>
      </c>
    </row>
    <row r="4" spans="1:1" ht="14.4" x14ac:dyDescent="0.25">
      <c r="A4" s="210" t="s">
        <v>1</v>
      </c>
    </row>
    <row r="5" spans="1:1" ht="14.4" x14ac:dyDescent="0.25">
      <c r="A5" s="93" t="s">
        <v>2</v>
      </c>
    </row>
    <row r="6" spans="1:1" ht="14.4" x14ac:dyDescent="0.25">
      <c r="A6" s="93"/>
    </row>
    <row r="7" spans="1:1" ht="14.4" x14ac:dyDescent="0.25">
      <c r="A7" s="93"/>
    </row>
    <row r="8" spans="1:1" ht="14.4" x14ac:dyDescent="0.25">
      <c r="A8" s="211" t="s">
        <v>3</v>
      </c>
    </row>
    <row r="9" spans="1:1" ht="14.4" x14ac:dyDescent="0.25">
      <c r="A9" s="93" t="s">
        <v>4</v>
      </c>
    </row>
    <row r="10" spans="1:1" ht="14.4" x14ac:dyDescent="0.25">
      <c r="A10" s="93" t="s">
        <v>5</v>
      </c>
    </row>
    <row r="11" spans="1:1" ht="14.4" x14ac:dyDescent="0.25">
      <c r="A11" s="93" t="s">
        <v>6</v>
      </c>
    </row>
    <row r="12" spans="1:1" ht="14.4" x14ac:dyDescent="0.25">
      <c r="A12" s="93"/>
    </row>
    <row r="13" spans="1:1" ht="14.4" x14ac:dyDescent="0.25">
      <c r="A13" s="94"/>
    </row>
    <row r="14" spans="1:1" ht="14.4" x14ac:dyDescent="0.25">
      <c r="A14" s="212" t="s">
        <v>7</v>
      </c>
    </row>
    <row r="15" spans="1:1" ht="14.4" x14ac:dyDescent="0.25">
      <c r="A15" s="93" t="s">
        <v>8</v>
      </c>
    </row>
    <row r="17" spans="1:1" ht="14.4" x14ac:dyDescent="0.25">
      <c r="A17" s="93" t="s">
        <v>9</v>
      </c>
    </row>
    <row r="18" spans="1:1" ht="14.4" x14ac:dyDescent="0.25">
      <c r="A18" s="93" t="s">
        <v>10</v>
      </c>
    </row>
    <row r="19" spans="1:1" ht="14.4" x14ac:dyDescent="0.25">
      <c r="A19" s="94"/>
    </row>
    <row r="20" spans="1:1" ht="14.4" x14ac:dyDescent="0.25">
      <c r="A20" s="94"/>
    </row>
    <row r="21" spans="1:1" ht="14.4" x14ac:dyDescent="0.25">
      <c r="A21" s="213" t="s">
        <v>11</v>
      </c>
    </row>
    <row r="22" spans="1:1" ht="14.4" x14ac:dyDescent="0.25">
      <c r="A22" s="93" t="s">
        <v>12</v>
      </c>
    </row>
    <row r="23" spans="1:1" ht="14.4" x14ac:dyDescent="0.25">
      <c r="A23" s="93"/>
    </row>
    <row r="24" spans="1:1" ht="14.4" x14ac:dyDescent="0.25">
      <c r="A24" s="93"/>
    </row>
    <row r="25" spans="1:1" ht="14.4" x14ac:dyDescent="0.25">
      <c r="A25" s="214" t="s">
        <v>13</v>
      </c>
    </row>
    <row r="26" spans="1:1" ht="14.4" x14ac:dyDescent="0.25">
      <c r="A26" s="93" t="s">
        <v>14</v>
      </c>
    </row>
    <row r="27" spans="1:1" ht="14.4" x14ac:dyDescent="0.25">
      <c r="A27" s="93" t="s">
        <v>15</v>
      </c>
    </row>
    <row r="30" spans="1:1" x14ac:dyDescent="0.25">
      <c r="A30" s="71" t="s">
        <v>16</v>
      </c>
    </row>
  </sheetData>
  <sheetProtection algorithmName="SHA-512" hashValue="kQAty5icGZO498093wZOlnyNfl7eybketbVTY6GnbRRIhSDypo+FRTxLPVmn6lBnNlNmcZuSgLoLHIjNgrNBWQ==" saltValue="Ivw/j0TKs3p1cvyAztrLrA==" spinCount="100000"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6"/>
  </sheetPr>
  <dimension ref="A2:F119"/>
  <sheetViews>
    <sheetView workbookViewId="0">
      <selection activeCell="E35" sqref="E35"/>
    </sheetView>
  </sheetViews>
  <sheetFormatPr defaultRowHeight="13.2" x14ac:dyDescent="0.25"/>
  <cols>
    <col min="1" max="1" width="44" customWidth="1"/>
  </cols>
  <sheetData>
    <row r="2" spans="1:6" ht="12.9" customHeight="1" x14ac:dyDescent="0.25">
      <c r="A2" s="310" t="s">
        <v>544</v>
      </c>
      <c r="B2" s="311">
        <v>25</v>
      </c>
      <c r="C2" s="312" t="s">
        <v>545</v>
      </c>
      <c r="D2" s="312" t="s">
        <v>546</v>
      </c>
      <c r="F2" s="71" t="s">
        <v>547</v>
      </c>
    </row>
    <row r="3" spans="1:6" ht="12.9" customHeight="1" x14ac:dyDescent="0.25">
      <c r="A3" s="313" t="s">
        <v>548</v>
      </c>
      <c r="B3" s="311">
        <v>16.5</v>
      </c>
      <c r="C3" s="312" t="s">
        <v>545</v>
      </c>
      <c r="D3" s="312" t="s">
        <v>546</v>
      </c>
    </row>
    <row r="4" spans="1:6" ht="12.9" customHeight="1" x14ac:dyDescent="0.25">
      <c r="A4" s="313" t="s">
        <v>549</v>
      </c>
      <c r="B4" s="311">
        <v>16.5</v>
      </c>
      <c r="C4" s="312" t="s">
        <v>545</v>
      </c>
      <c r="D4" s="312" t="s">
        <v>546</v>
      </c>
    </row>
    <row r="5" spans="1:6" ht="12.9" customHeight="1" x14ac:dyDescent="0.4">
      <c r="A5" s="313" t="s">
        <v>550</v>
      </c>
      <c r="B5" s="311">
        <v>16.5</v>
      </c>
      <c r="C5" s="312" t="s">
        <v>545</v>
      </c>
      <c r="D5" s="312" t="s">
        <v>546</v>
      </c>
      <c r="E5" s="76"/>
      <c r="F5" s="76"/>
    </row>
    <row r="6" spans="1:6" ht="12.9" customHeight="1" x14ac:dyDescent="0.4">
      <c r="A6" s="313" t="s">
        <v>551</v>
      </c>
      <c r="B6" s="311">
        <v>24</v>
      </c>
      <c r="C6" s="312" t="s">
        <v>545</v>
      </c>
      <c r="D6" s="312" t="s">
        <v>546</v>
      </c>
      <c r="E6" s="76"/>
      <c r="F6" s="76"/>
    </row>
    <row r="7" spans="1:6" ht="12.9" customHeight="1" x14ac:dyDescent="0.25">
      <c r="A7" s="313" t="s">
        <v>552</v>
      </c>
      <c r="B7" s="311">
        <v>20</v>
      </c>
      <c r="C7" s="312" t="s">
        <v>545</v>
      </c>
      <c r="D7" s="312" t="s">
        <v>546</v>
      </c>
    </row>
    <row r="8" spans="1:6" ht="12.9" customHeight="1" x14ac:dyDescent="0.25">
      <c r="A8" s="313" t="s">
        <v>553</v>
      </c>
      <c r="B8" s="311">
        <v>16.5</v>
      </c>
      <c r="C8" s="312" t="s">
        <v>545</v>
      </c>
      <c r="D8" s="312" t="s">
        <v>546</v>
      </c>
    </row>
    <row r="9" spans="1:6" ht="12.9" customHeight="1" x14ac:dyDescent="0.25">
      <c r="A9" s="313" t="s">
        <v>554</v>
      </c>
      <c r="B9" s="311">
        <v>35</v>
      </c>
      <c r="C9" s="312" t="s">
        <v>545</v>
      </c>
      <c r="D9" s="312" t="s">
        <v>546</v>
      </c>
    </row>
    <row r="10" spans="1:6" ht="12.9" customHeight="1" x14ac:dyDescent="0.25">
      <c r="A10" s="313" t="s">
        <v>555</v>
      </c>
      <c r="B10" s="311">
        <v>24</v>
      </c>
      <c r="C10" s="312" t="s">
        <v>545</v>
      </c>
      <c r="D10" s="312" t="s">
        <v>546</v>
      </c>
    </row>
    <row r="11" spans="1:6" ht="12.9" customHeight="1" x14ac:dyDescent="0.25">
      <c r="A11" s="313" t="s">
        <v>556</v>
      </c>
      <c r="B11" s="311">
        <v>16.5</v>
      </c>
      <c r="C11" s="312" t="s">
        <v>545</v>
      </c>
      <c r="D11" s="312" t="s">
        <v>546</v>
      </c>
    </row>
    <row r="12" spans="1:6" ht="12.9" customHeight="1" x14ac:dyDescent="0.25">
      <c r="A12" s="313" t="s">
        <v>557</v>
      </c>
      <c r="B12" s="311">
        <v>16.5</v>
      </c>
      <c r="C12" s="312" t="s">
        <v>545</v>
      </c>
      <c r="D12" s="312" t="s">
        <v>546</v>
      </c>
    </row>
    <row r="13" spans="1:6" ht="12.9" customHeight="1" x14ac:dyDescent="0.25">
      <c r="A13" s="313" t="s">
        <v>558</v>
      </c>
      <c r="B13" s="311">
        <v>17.54</v>
      </c>
      <c r="C13" s="312" t="s">
        <v>545</v>
      </c>
      <c r="D13" s="312" t="s">
        <v>546</v>
      </c>
    </row>
    <row r="14" spans="1:6" ht="12.9" customHeight="1" x14ac:dyDescent="0.25">
      <c r="A14" s="313" t="s">
        <v>559</v>
      </c>
      <c r="B14" s="311">
        <v>16.5</v>
      </c>
      <c r="C14" s="312" t="s">
        <v>545</v>
      </c>
      <c r="D14" s="312" t="s">
        <v>546</v>
      </c>
    </row>
    <row r="15" spans="1:6" ht="12.9" customHeight="1" x14ac:dyDescent="0.25">
      <c r="A15" s="313" t="s">
        <v>560</v>
      </c>
      <c r="B15" s="311">
        <v>16.5</v>
      </c>
      <c r="C15" s="312" t="s">
        <v>545</v>
      </c>
      <c r="D15" s="312" t="s">
        <v>546</v>
      </c>
    </row>
    <row r="16" spans="1:6" ht="12.9" customHeight="1" x14ac:dyDescent="0.25">
      <c r="A16" s="313" t="s">
        <v>561</v>
      </c>
      <c r="B16" s="311">
        <v>24</v>
      </c>
      <c r="C16" s="312" t="s">
        <v>545</v>
      </c>
      <c r="D16" s="312" t="s">
        <v>546</v>
      </c>
    </row>
    <row r="17" spans="1:4" ht="12.9" customHeight="1" x14ac:dyDescent="0.25">
      <c r="A17" s="313" t="s">
        <v>562</v>
      </c>
      <c r="B17" s="311">
        <v>17</v>
      </c>
      <c r="C17" s="312" t="s">
        <v>545</v>
      </c>
      <c r="D17" s="312" t="s">
        <v>546</v>
      </c>
    </row>
    <row r="18" spans="1:4" ht="12.9" customHeight="1" x14ac:dyDescent="0.25">
      <c r="A18" s="313" t="s">
        <v>563</v>
      </c>
      <c r="B18" s="311">
        <v>16.5</v>
      </c>
      <c r="C18" s="312" t="s">
        <v>545</v>
      </c>
      <c r="D18" s="312" t="s">
        <v>546</v>
      </c>
    </row>
    <row r="19" spans="1:4" ht="12.9" customHeight="1" x14ac:dyDescent="0.25">
      <c r="A19" s="313" t="s">
        <v>564</v>
      </c>
      <c r="B19" s="311">
        <v>18</v>
      </c>
      <c r="C19" s="312" t="s">
        <v>545</v>
      </c>
      <c r="D19" s="312" t="s">
        <v>546</v>
      </c>
    </row>
    <row r="20" spans="1:4" ht="12.9" customHeight="1" x14ac:dyDescent="0.25">
      <c r="A20" s="313" t="s">
        <v>565</v>
      </c>
      <c r="B20" s="311">
        <v>45</v>
      </c>
      <c r="C20" s="312" t="s">
        <v>545</v>
      </c>
      <c r="D20" s="312" t="s">
        <v>546</v>
      </c>
    </row>
    <row r="21" spans="1:4" ht="12.9" customHeight="1" x14ac:dyDescent="0.25">
      <c r="A21" s="313" t="s">
        <v>566</v>
      </c>
      <c r="B21" s="311">
        <v>25</v>
      </c>
      <c r="C21" s="312" t="s">
        <v>545</v>
      </c>
      <c r="D21" s="312" t="s">
        <v>546</v>
      </c>
    </row>
    <row r="22" spans="1:4" ht="12.9" customHeight="1" x14ac:dyDescent="0.25">
      <c r="A22" s="313" t="s">
        <v>567</v>
      </c>
      <c r="B22" s="311">
        <v>16.5</v>
      </c>
      <c r="C22" s="312" t="s">
        <v>545</v>
      </c>
      <c r="D22" s="312" t="s">
        <v>546</v>
      </c>
    </row>
    <row r="23" spans="1:4" ht="12.9" customHeight="1" x14ac:dyDescent="0.25">
      <c r="A23" s="313" t="s">
        <v>568</v>
      </c>
      <c r="B23" s="311">
        <v>16.5</v>
      </c>
      <c r="C23" s="312" t="s">
        <v>545</v>
      </c>
      <c r="D23" s="312" t="s">
        <v>546</v>
      </c>
    </row>
    <row r="24" spans="1:4" ht="12.9" customHeight="1" x14ac:dyDescent="0.25">
      <c r="A24" s="313" t="s">
        <v>569</v>
      </c>
      <c r="B24" s="311">
        <v>16.5</v>
      </c>
      <c r="C24" s="312" t="s">
        <v>545</v>
      </c>
      <c r="D24" s="312" t="s">
        <v>546</v>
      </c>
    </row>
    <row r="25" spans="1:4" ht="12.9" customHeight="1" x14ac:dyDescent="0.25">
      <c r="A25" s="313" t="s">
        <v>570</v>
      </c>
      <c r="B25" s="311">
        <v>16.5</v>
      </c>
      <c r="C25" s="312" t="s">
        <v>545</v>
      </c>
      <c r="D25" s="312" t="s">
        <v>546</v>
      </c>
    </row>
    <row r="26" spans="1:4" ht="12.9" customHeight="1" x14ac:dyDescent="0.25">
      <c r="A26" s="313" t="s">
        <v>571</v>
      </c>
      <c r="B26" s="311">
        <v>33</v>
      </c>
      <c r="C26" s="312" t="s">
        <v>545</v>
      </c>
      <c r="D26" s="312" t="s">
        <v>546</v>
      </c>
    </row>
    <row r="27" spans="1:4" ht="12.9" customHeight="1" x14ac:dyDescent="0.25">
      <c r="A27" s="313" t="s">
        <v>572</v>
      </c>
      <c r="B27" s="311">
        <v>18</v>
      </c>
      <c r="C27" s="312" t="s">
        <v>545</v>
      </c>
      <c r="D27" s="312" t="s">
        <v>546</v>
      </c>
    </row>
    <row r="28" spans="1:4" ht="12.9" customHeight="1" x14ac:dyDescent="0.25">
      <c r="A28" s="313" t="s">
        <v>573</v>
      </c>
      <c r="B28" s="311">
        <v>18</v>
      </c>
      <c r="C28" s="312" t="s">
        <v>545</v>
      </c>
      <c r="D28" s="312" t="s">
        <v>546</v>
      </c>
    </row>
    <row r="29" spans="1:4" ht="12.9" customHeight="1" x14ac:dyDescent="0.25">
      <c r="A29" s="313" t="s">
        <v>574</v>
      </c>
      <c r="B29" s="311">
        <v>18</v>
      </c>
      <c r="C29" s="312" t="s">
        <v>545</v>
      </c>
      <c r="D29" s="312" t="s">
        <v>546</v>
      </c>
    </row>
    <row r="30" spans="1:4" ht="12.9" customHeight="1" x14ac:dyDescent="0.25">
      <c r="A30" s="313" t="s">
        <v>575</v>
      </c>
      <c r="B30" s="311">
        <v>18.25</v>
      </c>
      <c r="C30" s="312" t="s">
        <v>545</v>
      </c>
      <c r="D30" s="312" t="s">
        <v>546</v>
      </c>
    </row>
    <row r="31" spans="1:4" ht="12.9" customHeight="1" x14ac:dyDescent="0.25">
      <c r="A31" s="313" t="s">
        <v>576</v>
      </c>
      <c r="B31" s="311">
        <v>16.5</v>
      </c>
      <c r="C31" s="312" t="s">
        <v>545</v>
      </c>
      <c r="D31" s="312" t="s">
        <v>546</v>
      </c>
    </row>
    <row r="32" spans="1:4" ht="12.9" customHeight="1" x14ac:dyDescent="0.25">
      <c r="A32" s="313" t="s">
        <v>577</v>
      </c>
      <c r="B32" s="311">
        <v>16.5</v>
      </c>
      <c r="C32" s="312" t="s">
        <v>545</v>
      </c>
      <c r="D32" s="312" t="s">
        <v>546</v>
      </c>
    </row>
    <row r="33" spans="1:4" ht="12.9" customHeight="1" x14ac:dyDescent="0.25">
      <c r="A33" s="313" t="s">
        <v>578</v>
      </c>
      <c r="B33" s="311">
        <v>35</v>
      </c>
      <c r="C33" s="312" t="s">
        <v>545</v>
      </c>
      <c r="D33" s="312" t="s">
        <v>546</v>
      </c>
    </row>
    <row r="34" spans="1:4" ht="12.9" customHeight="1" x14ac:dyDescent="0.25">
      <c r="A34" s="313" t="s">
        <v>579</v>
      </c>
      <c r="B34" s="311">
        <v>40</v>
      </c>
      <c r="C34" s="312" t="s">
        <v>545</v>
      </c>
      <c r="D34" s="312" t="s">
        <v>546</v>
      </c>
    </row>
    <row r="35" spans="1:4" ht="12.9" customHeight="1" x14ac:dyDescent="0.25">
      <c r="A35" s="313" t="s">
        <v>580</v>
      </c>
      <c r="B35" s="311">
        <v>16.5</v>
      </c>
      <c r="C35" s="312" t="s">
        <v>545</v>
      </c>
      <c r="D35" s="312" t="s">
        <v>546</v>
      </c>
    </row>
    <row r="36" spans="1:4" ht="12.9" customHeight="1" x14ac:dyDescent="0.25">
      <c r="A36" s="313" t="s">
        <v>581</v>
      </c>
      <c r="B36" s="311">
        <v>25</v>
      </c>
      <c r="C36" s="312" t="s">
        <v>545</v>
      </c>
      <c r="D36" s="312" t="s">
        <v>546</v>
      </c>
    </row>
    <row r="37" spans="1:4" ht="12.9" customHeight="1" x14ac:dyDescent="0.25">
      <c r="A37" s="313" t="s">
        <v>582</v>
      </c>
      <c r="B37" s="311">
        <v>35</v>
      </c>
      <c r="C37" s="312" t="s">
        <v>545</v>
      </c>
      <c r="D37" s="312" t="s">
        <v>546</v>
      </c>
    </row>
    <row r="38" spans="1:4" ht="12.9" customHeight="1" x14ac:dyDescent="0.25">
      <c r="A38" s="313" t="s">
        <v>583</v>
      </c>
      <c r="B38" s="311">
        <v>20</v>
      </c>
      <c r="C38" s="312" t="s">
        <v>545</v>
      </c>
      <c r="D38" s="312" t="s">
        <v>546</v>
      </c>
    </row>
    <row r="39" spans="1:4" ht="12.9" customHeight="1" x14ac:dyDescent="0.25">
      <c r="A39" s="313" t="s">
        <v>584</v>
      </c>
      <c r="B39" s="311">
        <v>16.5</v>
      </c>
      <c r="C39" s="312" t="s">
        <v>545</v>
      </c>
      <c r="D39" s="312" t="s">
        <v>546</v>
      </c>
    </row>
    <row r="40" spans="1:4" ht="12.9" customHeight="1" x14ac:dyDescent="0.25">
      <c r="A40" s="313" t="s">
        <v>585</v>
      </c>
      <c r="B40" s="311">
        <v>42.05</v>
      </c>
      <c r="C40" s="312" t="s">
        <v>545</v>
      </c>
      <c r="D40" s="312" t="s">
        <v>546</v>
      </c>
    </row>
    <row r="41" spans="1:4" ht="12.9" customHeight="1" x14ac:dyDescent="0.25">
      <c r="A41" s="313" t="s">
        <v>586</v>
      </c>
      <c r="B41" s="311">
        <v>50</v>
      </c>
      <c r="C41" s="312" t="s">
        <v>545</v>
      </c>
      <c r="D41" s="312" t="s">
        <v>587</v>
      </c>
    </row>
    <row r="42" spans="1:4" ht="12.9" customHeight="1" x14ac:dyDescent="0.25">
      <c r="A42" s="313" t="s">
        <v>588</v>
      </c>
      <c r="B42" s="311">
        <v>16.5</v>
      </c>
      <c r="C42" s="312" t="s">
        <v>545</v>
      </c>
      <c r="D42" s="312" t="s">
        <v>546</v>
      </c>
    </row>
    <row r="43" spans="1:4" ht="12.9" customHeight="1" x14ac:dyDescent="0.25">
      <c r="A43" s="313" t="s">
        <v>589</v>
      </c>
      <c r="B43" s="311">
        <v>16.5</v>
      </c>
      <c r="C43" s="312" t="s">
        <v>545</v>
      </c>
      <c r="D43" s="312" t="s">
        <v>546</v>
      </c>
    </row>
    <row r="44" spans="1:4" ht="12.9" customHeight="1" x14ac:dyDescent="0.25">
      <c r="A44" s="313" t="s">
        <v>590</v>
      </c>
      <c r="B44" s="311">
        <v>16.5</v>
      </c>
      <c r="C44" s="312" t="s">
        <v>545</v>
      </c>
      <c r="D44" s="312" t="s">
        <v>546</v>
      </c>
    </row>
    <row r="45" spans="1:4" ht="12.9" customHeight="1" x14ac:dyDescent="0.25">
      <c r="A45" s="313" t="s">
        <v>591</v>
      </c>
      <c r="B45" s="311">
        <v>16.5</v>
      </c>
      <c r="C45" s="312" t="s">
        <v>545</v>
      </c>
      <c r="D45" s="312" t="s">
        <v>546</v>
      </c>
    </row>
    <row r="46" spans="1:4" ht="12.9" customHeight="1" x14ac:dyDescent="0.25">
      <c r="A46" s="313" t="s">
        <v>592</v>
      </c>
      <c r="B46" s="311">
        <v>16.5</v>
      </c>
      <c r="C46" s="312" t="s">
        <v>545</v>
      </c>
      <c r="D46" s="312" t="s">
        <v>546</v>
      </c>
    </row>
    <row r="47" spans="1:4" ht="12.9" customHeight="1" x14ac:dyDescent="0.25">
      <c r="A47" s="313" t="s">
        <v>593</v>
      </c>
      <c r="B47" s="311">
        <v>16.5</v>
      </c>
      <c r="C47" s="312" t="s">
        <v>545</v>
      </c>
      <c r="D47" s="312" t="s">
        <v>546</v>
      </c>
    </row>
    <row r="48" spans="1:4" ht="12.9" customHeight="1" x14ac:dyDescent="0.25">
      <c r="A48" s="313" t="s">
        <v>594</v>
      </c>
      <c r="B48" s="311">
        <v>16.5</v>
      </c>
      <c r="C48" s="312" t="s">
        <v>545</v>
      </c>
      <c r="D48" s="312" t="s">
        <v>546</v>
      </c>
    </row>
    <row r="49" spans="1:4" ht="12.9" customHeight="1" x14ac:dyDescent="0.25">
      <c r="A49" s="313" t="s">
        <v>595</v>
      </c>
      <c r="B49" s="311">
        <v>16.5</v>
      </c>
      <c r="C49" s="312" t="s">
        <v>545</v>
      </c>
      <c r="D49" s="312" t="s">
        <v>546</v>
      </c>
    </row>
    <row r="50" spans="1:4" ht="12.9" customHeight="1" x14ac:dyDescent="0.25">
      <c r="A50" s="310" t="s">
        <v>596</v>
      </c>
      <c r="B50" s="311">
        <v>25</v>
      </c>
      <c r="C50" s="312" t="s">
        <v>545</v>
      </c>
      <c r="D50" s="312" t="s">
        <v>546</v>
      </c>
    </row>
    <row r="51" spans="1:4" ht="12.9" customHeight="1" x14ac:dyDescent="0.25">
      <c r="A51" s="313" t="s">
        <v>597</v>
      </c>
      <c r="B51" s="311">
        <v>30</v>
      </c>
      <c r="C51" s="312" t="s">
        <v>545</v>
      </c>
      <c r="D51" s="312" t="s">
        <v>546</v>
      </c>
    </row>
    <row r="52" spans="1:4" ht="12.9" customHeight="1" x14ac:dyDescent="0.25">
      <c r="A52" s="313" t="s">
        <v>598</v>
      </c>
      <c r="B52" s="311">
        <v>35</v>
      </c>
      <c r="C52" s="312" t="s">
        <v>545</v>
      </c>
      <c r="D52" s="312" t="s">
        <v>546</v>
      </c>
    </row>
    <row r="53" spans="1:4" ht="12.9" customHeight="1" x14ac:dyDescent="0.25">
      <c r="A53" s="313" t="s">
        <v>599</v>
      </c>
      <c r="B53" s="311">
        <v>40</v>
      </c>
      <c r="C53" s="312" t="s">
        <v>545</v>
      </c>
      <c r="D53" s="312" t="s">
        <v>546</v>
      </c>
    </row>
    <row r="54" spans="1:4" ht="12.9" customHeight="1" x14ac:dyDescent="0.25">
      <c r="A54" s="313" t="s">
        <v>600</v>
      </c>
      <c r="B54" s="311">
        <v>16.5</v>
      </c>
      <c r="C54" s="312" t="s">
        <v>545</v>
      </c>
      <c r="D54" s="312" t="s">
        <v>546</v>
      </c>
    </row>
    <row r="55" spans="1:4" ht="12.9" customHeight="1" x14ac:dyDescent="0.25">
      <c r="A55" s="313" t="s">
        <v>601</v>
      </c>
      <c r="B55" s="311">
        <v>16.5</v>
      </c>
      <c r="C55" s="312" t="s">
        <v>545</v>
      </c>
      <c r="D55" s="312" t="s">
        <v>546</v>
      </c>
    </row>
    <row r="56" spans="1:4" ht="12.9" customHeight="1" x14ac:dyDescent="0.25">
      <c r="A56" s="313" t="s">
        <v>602</v>
      </c>
      <c r="B56" s="311">
        <v>16.5</v>
      </c>
      <c r="C56" s="312" t="s">
        <v>545</v>
      </c>
      <c r="D56" s="312" t="s">
        <v>546</v>
      </c>
    </row>
    <row r="57" spans="1:4" ht="12.9" customHeight="1" x14ac:dyDescent="0.25">
      <c r="A57" s="313" t="s">
        <v>603</v>
      </c>
      <c r="B57" s="311">
        <v>16.5</v>
      </c>
      <c r="C57" s="312" t="s">
        <v>545</v>
      </c>
      <c r="D57" s="312" t="s">
        <v>546</v>
      </c>
    </row>
    <row r="58" spans="1:4" ht="12.9" customHeight="1" x14ac:dyDescent="0.25">
      <c r="A58" s="313" t="s">
        <v>604</v>
      </c>
      <c r="B58" s="311">
        <v>16.5</v>
      </c>
      <c r="C58" s="312" t="s">
        <v>545</v>
      </c>
      <c r="D58" s="312" t="s">
        <v>546</v>
      </c>
    </row>
    <row r="59" spans="1:4" ht="12.9" customHeight="1" x14ac:dyDescent="0.25">
      <c r="A59" s="313" t="s">
        <v>605</v>
      </c>
      <c r="B59" s="311">
        <v>16.5</v>
      </c>
      <c r="C59" s="312" t="s">
        <v>545</v>
      </c>
      <c r="D59" s="312" t="s">
        <v>546</v>
      </c>
    </row>
    <row r="60" spans="1:4" ht="12.9" customHeight="1" x14ac:dyDescent="0.25">
      <c r="A60" s="313" t="s">
        <v>606</v>
      </c>
      <c r="B60" s="311">
        <v>18</v>
      </c>
      <c r="C60" s="312" t="s">
        <v>545</v>
      </c>
      <c r="D60" s="312" t="s">
        <v>546</v>
      </c>
    </row>
    <row r="61" spans="1:4" ht="12.9" customHeight="1" x14ac:dyDescent="0.25">
      <c r="A61" s="313" t="s">
        <v>607</v>
      </c>
      <c r="B61" s="311">
        <v>20</v>
      </c>
      <c r="C61" s="312" t="s">
        <v>545</v>
      </c>
      <c r="D61" s="312" t="s">
        <v>546</v>
      </c>
    </row>
    <row r="62" spans="1:4" ht="12.9" customHeight="1" x14ac:dyDescent="0.25">
      <c r="A62" s="313" t="s">
        <v>608</v>
      </c>
      <c r="B62" s="311">
        <v>16.5</v>
      </c>
      <c r="C62" s="312" t="s">
        <v>545</v>
      </c>
      <c r="D62" s="312" t="s">
        <v>546</v>
      </c>
    </row>
    <row r="63" spans="1:4" ht="12.9" customHeight="1" x14ac:dyDescent="0.25">
      <c r="A63" s="313" t="s">
        <v>609</v>
      </c>
      <c r="B63" s="311">
        <v>16.5</v>
      </c>
      <c r="C63" s="312" t="s">
        <v>545</v>
      </c>
      <c r="D63" s="312" t="s">
        <v>546</v>
      </c>
    </row>
    <row r="64" spans="1:4" ht="12.9" customHeight="1" x14ac:dyDescent="0.25">
      <c r="A64" s="313" t="s">
        <v>610</v>
      </c>
      <c r="B64" s="311">
        <v>16.5</v>
      </c>
      <c r="C64" s="312" t="s">
        <v>545</v>
      </c>
      <c r="D64" s="312" t="s">
        <v>546</v>
      </c>
    </row>
    <row r="65" spans="1:4" ht="12.9" customHeight="1" x14ac:dyDescent="0.25">
      <c r="A65" s="313" t="s">
        <v>611</v>
      </c>
      <c r="B65" s="311">
        <v>60</v>
      </c>
      <c r="C65" s="312" t="s">
        <v>545</v>
      </c>
      <c r="D65" s="312" t="s">
        <v>546</v>
      </c>
    </row>
    <row r="66" spans="1:4" ht="12.9" customHeight="1" x14ac:dyDescent="0.25">
      <c r="A66" s="313" t="s">
        <v>612</v>
      </c>
      <c r="B66" s="311">
        <v>16.5</v>
      </c>
      <c r="C66" s="312" t="s">
        <v>545</v>
      </c>
      <c r="D66" s="312" t="s">
        <v>546</v>
      </c>
    </row>
    <row r="67" spans="1:4" ht="12.9" customHeight="1" x14ac:dyDescent="0.25">
      <c r="A67" s="313" t="s">
        <v>613</v>
      </c>
      <c r="B67" s="311">
        <v>16.5</v>
      </c>
      <c r="C67" s="312" t="s">
        <v>545</v>
      </c>
      <c r="D67" s="312" t="s">
        <v>546</v>
      </c>
    </row>
    <row r="68" spans="1:4" ht="12.9" customHeight="1" x14ac:dyDescent="0.25">
      <c r="A68" s="313" t="s">
        <v>614</v>
      </c>
      <c r="B68" s="311">
        <v>16.5</v>
      </c>
      <c r="C68" s="312" t="s">
        <v>545</v>
      </c>
      <c r="D68" s="312" t="s">
        <v>546</v>
      </c>
    </row>
    <row r="69" spans="1:4" ht="12.9" customHeight="1" x14ac:dyDescent="0.25">
      <c r="A69" s="313" t="s">
        <v>615</v>
      </c>
      <c r="B69" s="311">
        <v>16.5</v>
      </c>
      <c r="C69" s="312" t="s">
        <v>545</v>
      </c>
      <c r="D69" s="312" t="s">
        <v>546</v>
      </c>
    </row>
    <row r="70" spans="1:4" ht="12.9" customHeight="1" x14ac:dyDescent="0.25">
      <c r="A70" s="313" t="s">
        <v>616</v>
      </c>
      <c r="B70" s="311">
        <v>16.5</v>
      </c>
      <c r="C70" s="312" t="s">
        <v>545</v>
      </c>
      <c r="D70" s="312" t="s">
        <v>546</v>
      </c>
    </row>
    <row r="71" spans="1:4" ht="12.9" customHeight="1" x14ac:dyDescent="0.25">
      <c r="A71" s="313" t="s">
        <v>617</v>
      </c>
      <c r="B71" s="311">
        <v>20.5</v>
      </c>
      <c r="C71" s="312" t="s">
        <v>545</v>
      </c>
      <c r="D71" s="312" t="s">
        <v>546</v>
      </c>
    </row>
    <row r="72" spans="1:4" ht="12.9" customHeight="1" x14ac:dyDescent="0.25">
      <c r="A72" s="313" t="s">
        <v>618</v>
      </c>
      <c r="B72" s="311">
        <v>25</v>
      </c>
      <c r="C72" s="312" t="s">
        <v>545</v>
      </c>
      <c r="D72" s="312" t="s">
        <v>546</v>
      </c>
    </row>
    <row r="73" spans="1:4" ht="12.9" customHeight="1" x14ac:dyDescent="0.25">
      <c r="A73" s="313" t="s">
        <v>619</v>
      </c>
      <c r="B73" s="311">
        <v>16.5</v>
      </c>
      <c r="C73" s="312" t="s">
        <v>545</v>
      </c>
      <c r="D73" s="312" t="s">
        <v>546</v>
      </c>
    </row>
    <row r="74" spans="1:4" ht="12.9" customHeight="1" x14ac:dyDescent="0.25">
      <c r="A74" s="313" t="s">
        <v>620</v>
      </c>
      <c r="B74" s="311">
        <v>16.5</v>
      </c>
      <c r="C74" s="312" t="s">
        <v>545</v>
      </c>
      <c r="D74" s="312" t="s">
        <v>546</v>
      </c>
    </row>
    <row r="75" spans="1:4" ht="12.9" customHeight="1" x14ac:dyDescent="0.25">
      <c r="A75" s="313" t="s">
        <v>621</v>
      </c>
      <c r="B75" s="311">
        <v>25</v>
      </c>
      <c r="C75" s="312" t="s">
        <v>545</v>
      </c>
      <c r="D75" s="312" t="s">
        <v>546</v>
      </c>
    </row>
    <row r="76" spans="1:4" ht="12.9" customHeight="1" x14ac:dyDescent="0.25">
      <c r="A76" s="313" t="s">
        <v>622</v>
      </c>
      <c r="B76" s="311">
        <v>25</v>
      </c>
      <c r="C76" s="312" t="s">
        <v>545</v>
      </c>
      <c r="D76" s="312" t="s">
        <v>546</v>
      </c>
    </row>
    <row r="77" spans="1:4" ht="12.9" customHeight="1" x14ac:dyDescent="0.25">
      <c r="A77" s="313" t="s">
        <v>623</v>
      </c>
      <c r="B77" s="311">
        <v>16.5</v>
      </c>
      <c r="C77" s="312" t="s">
        <v>545</v>
      </c>
      <c r="D77" s="312" t="s">
        <v>546</v>
      </c>
    </row>
    <row r="78" spans="1:4" ht="12.9" customHeight="1" x14ac:dyDescent="0.25">
      <c r="A78" s="313" t="s">
        <v>624</v>
      </c>
      <c r="B78" s="311">
        <v>16.5</v>
      </c>
      <c r="C78" s="312" t="s">
        <v>545</v>
      </c>
      <c r="D78" s="312" t="s">
        <v>546</v>
      </c>
    </row>
    <row r="79" spans="1:4" ht="12.9" customHeight="1" x14ac:dyDescent="0.25">
      <c r="A79" s="313" t="s">
        <v>625</v>
      </c>
      <c r="B79" s="311">
        <v>35</v>
      </c>
      <c r="C79" s="312" t="s">
        <v>545</v>
      </c>
      <c r="D79" s="312" t="s">
        <v>546</v>
      </c>
    </row>
    <row r="80" spans="1:4" ht="12.9" customHeight="1" x14ac:dyDescent="0.25">
      <c r="A80" s="313" t="s">
        <v>626</v>
      </c>
      <c r="B80" s="311">
        <v>37</v>
      </c>
      <c r="C80" s="312" t="s">
        <v>545</v>
      </c>
      <c r="D80" s="312" t="s">
        <v>546</v>
      </c>
    </row>
    <row r="81" spans="1:4" ht="12.9" customHeight="1" x14ac:dyDescent="0.25">
      <c r="A81" s="313" t="s">
        <v>627</v>
      </c>
      <c r="B81" s="311">
        <v>40</v>
      </c>
      <c r="C81" s="312" t="s">
        <v>545</v>
      </c>
      <c r="D81" s="312" t="s">
        <v>546</v>
      </c>
    </row>
    <row r="82" spans="1:4" ht="12.9" customHeight="1" x14ac:dyDescent="0.25">
      <c r="A82" s="313" t="s">
        <v>628</v>
      </c>
      <c r="B82" s="311">
        <v>16.5</v>
      </c>
      <c r="C82" s="312" t="s">
        <v>545</v>
      </c>
      <c r="D82" s="312" t="s">
        <v>546</v>
      </c>
    </row>
    <row r="83" spans="1:4" ht="12.9" customHeight="1" x14ac:dyDescent="0.25">
      <c r="A83" s="313" t="s">
        <v>629</v>
      </c>
      <c r="B83" s="311">
        <v>16.5</v>
      </c>
      <c r="C83" s="312" t="s">
        <v>545</v>
      </c>
      <c r="D83" s="312" t="s">
        <v>546</v>
      </c>
    </row>
    <row r="84" spans="1:4" ht="12.9" customHeight="1" x14ac:dyDescent="0.25">
      <c r="A84" s="313" t="s">
        <v>630</v>
      </c>
      <c r="B84" s="311">
        <v>16.5</v>
      </c>
      <c r="C84" s="312" t="s">
        <v>545</v>
      </c>
      <c r="D84" s="312" t="s">
        <v>546</v>
      </c>
    </row>
    <row r="85" spans="1:4" ht="12.9" customHeight="1" x14ac:dyDescent="0.25">
      <c r="A85" s="313" t="s">
        <v>631</v>
      </c>
      <c r="B85" s="311">
        <v>16.5</v>
      </c>
      <c r="C85" s="312" t="s">
        <v>545</v>
      </c>
      <c r="D85" s="312" t="s">
        <v>546</v>
      </c>
    </row>
    <row r="86" spans="1:4" ht="12.9" customHeight="1" x14ac:dyDescent="0.25">
      <c r="A86" s="313" t="s">
        <v>632</v>
      </c>
      <c r="B86" s="311">
        <v>16.5</v>
      </c>
      <c r="C86" s="312" t="s">
        <v>545</v>
      </c>
      <c r="D86" s="312" t="s">
        <v>546</v>
      </c>
    </row>
    <row r="87" spans="1:4" ht="12.9" customHeight="1" x14ac:dyDescent="0.25">
      <c r="A87" s="313" t="s">
        <v>633</v>
      </c>
      <c r="B87" s="311">
        <v>36</v>
      </c>
      <c r="C87" s="312" t="s">
        <v>545</v>
      </c>
      <c r="D87" s="312" t="s">
        <v>546</v>
      </c>
    </row>
    <row r="88" spans="1:4" ht="12.9" customHeight="1" x14ac:dyDescent="0.25">
      <c r="A88" s="313" t="s">
        <v>634</v>
      </c>
      <c r="B88" s="311">
        <v>16.5</v>
      </c>
      <c r="C88" s="312" t="s">
        <v>545</v>
      </c>
      <c r="D88" s="312" t="s">
        <v>546</v>
      </c>
    </row>
    <row r="89" spans="1:4" ht="12.9" customHeight="1" x14ac:dyDescent="0.25">
      <c r="A89" s="313" t="s">
        <v>635</v>
      </c>
      <c r="B89" s="311">
        <v>16.5</v>
      </c>
      <c r="C89" s="312" t="s">
        <v>545</v>
      </c>
      <c r="D89" s="312" t="s">
        <v>546</v>
      </c>
    </row>
    <row r="90" spans="1:4" ht="12.9" customHeight="1" x14ac:dyDescent="0.25">
      <c r="A90" s="313" t="s">
        <v>636</v>
      </c>
      <c r="B90" s="311">
        <v>17</v>
      </c>
      <c r="C90" s="312" t="s">
        <v>545</v>
      </c>
      <c r="D90" s="312" t="s">
        <v>546</v>
      </c>
    </row>
    <row r="91" spans="1:4" ht="12.9" customHeight="1" x14ac:dyDescent="0.25">
      <c r="A91" s="313" t="s">
        <v>637</v>
      </c>
      <c r="B91" s="311">
        <v>17</v>
      </c>
      <c r="C91" s="312" t="s">
        <v>545</v>
      </c>
      <c r="D91" s="312" t="s">
        <v>546</v>
      </c>
    </row>
    <row r="92" spans="1:4" ht="12.9" customHeight="1" x14ac:dyDescent="0.25">
      <c r="A92" s="313" t="s">
        <v>638</v>
      </c>
      <c r="B92" s="311">
        <v>16.5</v>
      </c>
      <c r="C92" s="312" t="s">
        <v>545</v>
      </c>
      <c r="D92" s="312" t="s">
        <v>546</v>
      </c>
    </row>
    <row r="93" spans="1:4" ht="12.9" customHeight="1" x14ac:dyDescent="0.25">
      <c r="A93" s="313" t="s">
        <v>639</v>
      </c>
      <c r="B93" s="311">
        <v>16.5</v>
      </c>
      <c r="C93" s="312" t="s">
        <v>545</v>
      </c>
      <c r="D93" s="312" t="s">
        <v>546</v>
      </c>
    </row>
    <row r="94" spans="1:4" ht="12.9" customHeight="1" x14ac:dyDescent="0.25">
      <c r="A94" s="313" t="s">
        <v>640</v>
      </c>
      <c r="B94" s="311">
        <v>16.5</v>
      </c>
      <c r="C94" s="312" t="s">
        <v>545</v>
      </c>
      <c r="D94" s="312" t="s">
        <v>546</v>
      </c>
    </row>
    <row r="95" spans="1:4" ht="12.9" customHeight="1" x14ac:dyDescent="0.25">
      <c r="A95" s="313" t="s">
        <v>641</v>
      </c>
      <c r="B95" s="311">
        <v>16.5</v>
      </c>
      <c r="C95" s="312" t="s">
        <v>545</v>
      </c>
      <c r="D95" s="312" t="s">
        <v>546</v>
      </c>
    </row>
    <row r="96" spans="1:4" ht="12.9" customHeight="1" x14ac:dyDescent="0.25">
      <c r="A96" s="313" t="s">
        <v>642</v>
      </c>
      <c r="B96" s="311">
        <v>16.5</v>
      </c>
      <c r="C96" s="312" t="s">
        <v>545</v>
      </c>
      <c r="D96" s="312" t="s">
        <v>546</v>
      </c>
    </row>
    <row r="97" spans="1:4" ht="12.9" customHeight="1" x14ac:dyDescent="0.25">
      <c r="A97" s="313" t="s">
        <v>643</v>
      </c>
      <c r="B97" s="311">
        <v>16.5</v>
      </c>
      <c r="C97" s="312" t="s">
        <v>545</v>
      </c>
      <c r="D97" s="312" t="s">
        <v>546</v>
      </c>
    </row>
    <row r="98" spans="1:4" ht="12.9" customHeight="1" x14ac:dyDescent="0.25">
      <c r="A98" s="310" t="s">
        <v>644</v>
      </c>
      <c r="B98" s="311">
        <v>25</v>
      </c>
      <c r="C98" s="312" t="s">
        <v>545</v>
      </c>
      <c r="D98" s="312" t="s">
        <v>546</v>
      </c>
    </row>
    <row r="99" spans="1:4" ht="12.9" customHeight="1" x14ac:dyDescent="0.25">
      <c r="A99" s="313" t="s">
        <v>645</v>
      </c>
      <c r="B99" s="311">
        <v>16.5</v>
      </c>
      <c r="C99" s="312" t="s">
        <v>545</v>
      </c>
      <c r="D99" s="312" t="s">
        <v>546</v>
      </c>
    </row>
    <row r="100" spans="1:4" ht="12.9" customHeight="1" x14ac:dyDescent="0.25">
      <c r="A100" s="313" t="s">
        <v>646</v>
      </c>
      <c r="B100" s="311">
        <v>16.5</v>
      </c>
      <c r="C100" s="312" t="s">
        <v>545</v>
      </c>
      <c r="D100" s="312" t="s">
        <v>546</v>
      </c>
    </row>
    <row r="101" spans="1:4" ht="12.9" customHeight="1" x14ac:dyDescent="0.25">
      <c r="A101" s="313" t="s">
        <v>647</v>
      </c>
      <c r="B101" s="311">
        <v>16.5</v>
      </c>
      <c r="C101" s="312" t="s">
        <v>545</v>
      </c>
      <c r="D101" s="312" t="s">
        <v>546</v>
      </c>
    </row>
    <row r="102" spans="1:4" ht="12.9" customHeight="1" x14ac:dyDescent="0.25">
      <c r="A102" s="313" t="s">
        <v>648</v>
      </c>
      <c r="B102" s="311">
        <v>30</v>
      </c>
      <c r="C102" s="312" t="s">
        <v>545</v>
      </c>
      <c r="D102" s="312" t="s">
        <v>546</v>
      </c>
    </row>
    <row r="103" spans="1:4" ht="12.9" customHeight="1" x14ac:dyDescent="0.25">
      <c r="A103" s="313" t="s">
        <v>649</v>
      </c>
      <c r="B103" s="311">
        <v>16.5</v>
      </c>
      <c r="C103" s="312" t="s">
        <v>545</v>
      </c>
      <c r="D103" s="312" t="s">
        <v>546</v>
      </c>
    </row>
    <row r="104" spans="1:4" ht="12.9" customHeight="1" x14ac:dyDescent="0.25">
      <c r="A104" s="313" t="s">
        <v>650</v>
      </c>
      <c r="B104" s="311">
        <v>16.5</v>
      </c>
      <c r="C104" s="312" t="s">
        <v>545</v>
      </c>
      <c r="D104" s="312" t="s">
        <v>546</v>
      </c>
    </row>
    <row r="105" spans="1:4" ht="12.9" customHeight="1" x14ac:dyDescent="0.25">
      <c r="A105" s="313" t="s">
        <v>651</v>
      </c>
      <c r="B105" s="311">
        <v>20</v>
      </c>
      <c r="C105" s="312" t="s">
        <v>545</v>
      </c>
      <c r="D105" s="312" t="s">
        <v>546</v>
      </c>
    </row>
    <row r="106" spans="1:4" ht="12.9" customHeight="1" x14ac:dyDescent="0.25">
      <c r="A106" s="313" t="s">
        <v>652</v>
      </c>
      <c r="B106" s="311">
        <v>16.5</v>
      </c>
      <c r="C106" s="312" t="s">
        <v>545</v>
      </c>
      <c r="D106" s="312" t="s">
        <v>546</v>
      </c>
    </row>
    <row r="107" spans="1:4" ht="12.9" customHeight="1" x14ac:dyDescent="0.25">
      <c r="A107" s="313" t="s">
        <v>653</v>
      </c>
      <c r="B107" s="311">
        <v>16.5</v>
      </c>
      <c r="C107" s="312" t="s">
        <v>545</v>
      </c>
      <c r="D107" s="312" t="s">
        <v>546</v>
      </c>
    </row>
    <row r="108" spans="1:4" ht="12.9" customHeight="1" x14ac:dyDescent="0.25">
      <c r="A108" s="313" t="s">
        <v>654</v>
      </c>
      <c r="B108" s="311">
        <v>35</v>
      </c>
      <c r="C108" s="312" t="s">
        <v>545</v>
      </c>
      <c r="D108" s="312" t="s">
        <v>546</v>
      </c>
    </row>
    <row r="109" spans="1:4" ht="12.9" customHeight="1" x14ac:dyDescent="0.25">
      <c r="A109" s="313" t="s">
        <v>655</v>
      </c>
      <c r="B109" s="311">
        <v>55</v>
      </c>
      <c r="C109" s="312" t="s">
        <v>545</v>
      </c>
      <c r="D109" s="312" t="s">
        <v>546</v>
      </c>
    </row>
    <row r="110" spans="1:4" ht="12.9" customHeight="1" x14ac:dyDescent="0.25">
      <c r="A110" s="313" t="s">
        <v>656</v>
      </c>
      <c r="B110" s="311">
        <v>16.5</v>
      </c>
      <c r="C110" s="312" t="s">
        <v>545</v>
      </c>
      <c r="D110" s="312" t="s">
        <v>546</v>
      </c>
    </row>
    <row r="111" spans="1:4" ht="12.9" customHeight="1" x14ac:dyDescent="0.25">
      <c r="A111" s="313" t="s">
        <v>657</v>
      </c>
      <c r="B111" s="311">
        <v>24</v>
      </c>
      <c r="C111" s="312" t="s">
        <v>545</v>
      </c>
      <c r="D111" s="312" t="s">
        <v>546</v>
      </c>
    </row>
    <row r="112" spans="1:4" ht="12.9" customHeight="1" x14ac:dyDescent="0.25">
      <c r="A112" s="313" t="s">
        <v>658</v>
      </c>
      <c r="B112" s="311">
        <v>16.5</v>
      </c>
      <c r="C112" s="312" t="s">
        <v>545</v>
      </c>
      <c r="D112" s="312" t="s">
        <v>546</v>
      </c>
    </row>
    <row r="113" spans="1:4" ht="12.9" customHeight="1" x14ac:dyDescent="0.25">
      <c r="A113" s="313" t="s">
        <v>659</v>
      </c>
      <c r="B113" s="311">
        <v>16.5</v>
      </c>
      <c r="C113" s="312" t="s">
        <v>545</v>
      </c>
      <c r="D113" s="312" t="s">
        <v>546</v>
      </c>
    </row>
    <row r="114" spans="1:4" ht="12.9" customHeight="1" x14ac:dyDescent="0.25">
      <c r="A114" s="313" t="s">
        <v>660</v>
      </c>
      <c r="B114" s="311">
        <v>16.5</v>
      </c>
      <c r="C114" s="312" t="s">
        <v>545</v>
      </c>
      <c r="D114" s="312" t="s">
        <v>546</v>
      </c>
    </row>
    <row r="115" spans="1:4" ht="12.9" customHeight="1" x14ac:dyDescent="0.25">
      <c r="A115" s="313" t="s">
        <v>661</v>
      </c>
      <c r="B115" s="311">
        <v>16.5</v>
      </c>
      <c r="C115" s="312" t="s">
        <v>545</v>
      </c>
      <c r="D115" s="312" t="s">
        <v>546</v>
      </c>
    </row>
    <row r="116" spans="1:4" ht="12.9" customHeight="1" x14ac:dyDescent="0.25">
      <c r="A116" s="313" t="s">
        <v>662</v>
      </c>
      <c r="B116" s="311">
        <v>16.5</v>
      </c>
      <c r="C116" s="312" t="s">
        <v>545</v>
      </c>
      <c r="D116" s="312" t="s">
        <v>546</v>
      </c>
    </row>
    <row r="117" spans="1:4" x14ac:dyDescent="0.25">
      <c r="A117" s="313" t="s">
        <v>663</v>
      </c>
      <c r="B117" s="311">
        <v>135</v>
      </c>
      <c r="C117" s="312" t="s">
        <v>545</v>
      </c>
      <c r="D117" s="312" t="s">
        <v>664</v>
      </c>
    </row>
    <row r="118" spans="1:4" s="74" customFormat="1" x14ac:dyDescent="0.25">
      <c r="A118" s="313" t="s">
        <v>665</v>
      </c>
      <c r="B118" s="311">
        <v>16.5</v>
      </c>
      <c r="C118" s="312" t="s">
        <v>545</v>
      </c>
      <c r="D118" s="312" t="s">
        <v>546</v>
      </c>
    </row>
    <row r="119" spans="1:4" s="74" customFormat="1" x14ac:dyDescent="0.25">
      <c r="A119" s="74" t="s">
        <v>666</v>
      </c>
    </row>
  </sheetData>
  <sheetProtection algorithmName="SHA-512" hashValue="9t3YX8GWcaTrKdk1kMJ4yVcx1SVCQslsX0Clmdg3nI7IQ0NmEOKe3+zs3+tAcPLCUIa+gor8O4P9xE6t20RxLQ==" saltValue="ofU1EPRXwfy6fZ5EzPC0lA==" spinCount="100000" sheet="1" selectLockedCells="1" selectUnlockedCells="1"/>
  <autoFilter ref="A1:B117" xr:uid="{00000000-0009-0000-0000-000005000000}"/>
  <pageMargins left="0.7" right="0.7" top="0.75" bottom="0.75" header="0.3" footer="0.3"/>
  <pageSetup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theme="6"/>
    <pageSetUpPr fitToPage="1"/>
  </sheetPr>
  <dimension ref="A1:H9"/>
  <sheetViews>
    <sheetView workbookViewId="0"/>
  </sheetViews>
  <sheetFormatPr defaultRowHeight="13.2" x14ac:dyDescent="0.25"/>
  <cols>
    <col min="1" max="1" width="15" customWidth="1"/>
    <col min="2" max="2" width="38.33203125" customWidth="1"/>
    <col min="3" max="3" width="42.109375" customWidth="1"/>
    <col min="5" max="5" width="11.33203125" customWidth="1"/>
  </cols>
  <sheetData>
    <row r="1" spans="1:8" ht="18" x14ac:dyDescent="0.3">
      <c r="A1" s="266" t="s">
        <v>667</v>
      </c>
      <c r="B1" s="312"/>
      <c r="C1" s="276" t="s">
        <v>668</v>
      </c>
      <c r="D1" s="312"/>
      <c r="H1" s="71" t="s">
        <v>669</v>
      </c>
    </row>
    <row r="2" spans="1:8" ht="41.4" x14ac:dyDescent="0.4">
      <c r="A2" s="79" t="s">
        <v>670</v>
      </c>
      <c r="B2" s="80" t="s">
        <v>671</v>
      </c>
      <c r="C2" s="79" t="s">
        <v>672</v>
      </c>
      <c r="D2" s="79" t="s">
        <v>673</v>
      </c>
      <c r="E2" s="42" t="s">
        <v>674</v>
      </c>
      <c r="G2" s="81"/>
      <c r="H2" s="81"/>
    </row>
    <row r="3" spans="1:8" ht="12.9" customHeight="1" x14ac:dyDescent="0.4">
      <c r="A3" s="346"/>
      <c r="B3" s="347"/>
      <c r="C3" s="346"/>
      <c r="D3" s="346"/>
      <c r="E3" s="348"/>
      <c r="G3" s="81"/>
      <c r="H3" s="81"/>
    </row>
    <row r="4" spans="1:8" ht="132.9" customHeight="1" x14ac:dyDescent="0.25">
      <c r="A4" s="349" t="s">
        <v>675</v>
      </c>
      <c r="B4" s="349" t="s">
        <v>676</v>
      </c>
      <c r="C4" s="349" t="s">
        <v>677</v>
      </c>
      <c r="D4" s="277" t="s">
        <v>678</v>
      </c>
      <c r="E4" s="314">
        <v>16.75</v>
      </c>
    </row>
    <row r="5" spans="1:8" ht="141" customHeight="1" x14ac:dyDescent="0.25">
      <c r="A5" s="349" t="s">
        <v>679</v>
      </c>
      <c r="B5" s="349" t="s">
        <v>680</v>
      </c>
      <c r="C5" s="277" t="s">
        <v>681</v>
      </c>
      <c r="D5" s="279" t="s">
        <v>682</v>
      </c>
      <c r="E5" s="314">
        <v>17.75</v>
      </c>
    </row>
    <row r="6" spans="1:8" ht="101.4" customHeight="1" x14ac:dyDescent="0.4">
      <c r="A6" s="278" t="s">
        <v>683</v>
      </c>
      <c r="B6" s="278" t="s">
        <v>684</v>
      </c>
      <c r="C6" s="278" t="s">
        <v>685</v>
      </c>
      <c r="D6" s="277" t="s">
        <v>686</v>
      </c>
      <c r="E6" s="314">
        <v>18.75</v>
      </c>
      <c r="H6" s="76"/>
    </row>
    <row r="7" spans="1:8" ht="101.4" customHeight="1" x14ac:dyDescent="0.4">
      <c r="A7" s="349" t="s">
        <v>687</v>
      </c>
      <c r="B7" s="349" t="s">
        <v>688</v>
      </c>
      <c r="C7" s="349" t="s">
        <v>689</v>
      </c>
      <c r="D7" s="279" t="s">
        <v>690</v>
      </c>
      <c r="E7" s="314">
        <v>19.75</v>
      </c>
      <c r="H7" s="76"/>
    </row>
    <row r="8" spans="1:8" ht="103.5" customHeight="1" x14ac:dyDescent="0.25">
      <c r="A8" s="349" t="s">
        <v>61</v>
      </c>
      <c r="B8" s="349" t="s">
        <v>691</v>
      </c>
      <c r="C8" s="349" t="s">
        <v>692</v>
      </c>
      <c r="D8" s="280" t="s">
        <v>693</v>
      </c>
      <c r="E8" s="315">
        <v>20.75</v>
      </c>
    </row>
    <row r="9" spans="1:8" ht="15" customHeight="1" x14ac:dyDescent="0.25">
      <c r="A9" s="316" t="s">
        <v>694</v>
      </c>
      <c r="B9" s="350"/>
    </row>
  </sheetData>
  <sheetProtection algorithmName="SHA-512" hashValue="txgfzk3HU60oPG47bgdhO1TudtKLW1KlAUkQRwnGRd4ppH+qs1nyzlt1/kzqaMbA/9Y44KzHp+wbHzvYjq8e+w==" saltValue="u0qRxnaPJuElDFZ2AHcFgw==" spinCount="100000" sheet="1" selectLockedCells="1" selectUnlockedCells="1"/>
  <pageMargins left="0.25" right="0.25" top="0.75" bottom="0.75" header="0.3" footer="0.3"/>
  <pageSetup scale="89" fitToHeight="0"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5"/>
  </sheetPr>
  <dimension ref="A1:E26"/>
  <sheetViews>
    <sheetView workbookViewId="0">
      <selection activeCell="A30" sqref="A30"/>
    </sheetView>
  </sheetViews>
  <sheetFormatPr defaultColWidth="9.109375" defaultRowHeight="15.6" x14ac:dyDescent="0.3"/>
  <cols>
    <col min="1" max="1" width="16.33203125" style="23" customWidth="1"/>
    <col min="2" max="2" width="14.33203125" style="29" customWidth="1"/>
    <col min="3" max="3" width="14.109375" style="23" customWidth="1"/>
    <col min="4" max="4" width="2.33203125" style="23" customWidth="1"/>
    <col min="5" max="5" width="66.88671875" style="23" bestFit="1" customWidth="1"/>
    <col min="6" max="6" width="21.33203125" style="23" customWidth="1"/>
    <col min="7" max="7" width="14" style="23" bestFit="1" customWidth="1"/>
    <col min="8" max="8" width="9.109375" style="23"/>
    <col min="9" max="9" width="21.88671875" style="23" customWidth="1"/>
    <col min="10" max="16384" width="9.109375" style="23"/>
  </cols>
  <sheetData>
    <row r="1" spans="1:5" x14ac:dyDescent="0.3">
      <c r="A1" s="23" t="s">
        <v>695</v>
      </c>
      <c r="B1" s="30"/>
      <c r="C1" s="84">
        <v>121.84</v>
      </c>
      <c r="E1" s="23" t="s">
        <v>696</v>
      </c>
    </row>
    <row r="2" spans="1:5" x14ac:dyDescent="0.3">
      <c r="A2" s="23" t="s">
        <v>697</v>
      </c>
      <c r="B2" s="30"/>
      <c r="C2" s="23">
        <v>54</v>
      </c>
    </row>
    <row r="3" spans="1:5" x14ac:dyDescent="0.3">
      <c r="A3" s="23" t="s">
        <v>698</v>
      </c>
      <c r="B3" s="30"/>
      <c r="C3" s="84">
        <v>81.260000000000005</v>
      </c>
      <c r="E3" s="23" t="s">
        <v>699</v>
      </c>
    </row>
    <row r="4" spans="1:5" x14ac:dyDescent="0.3">
      <c r="A4" s="23" t="s">
        <v>700</v>
      </c>
      <c r="B4" s="30"/>
      <c r="C4" s="23">
        <v>3</v>
      </c>
    </row>
    <row r="5" spans="1:5" ht="31.5" customHeight="1" x14ac:dyDescent="0.3">
      <c r="A5" s="64" t="s">
        <v>701</v>
      </c>
      <c r="B5" s="64"/>
      <c r="C5" s="22">
        <f>ROUND((($C$1*$C$2)+($C$4*$C$3)),2)</f>
        <v>6823.14</v>
      </c>
      <c r="E5" s="65"/>
    </row>
    <row r="6" spans="1:5" ht="31.5" customHeight="1" x14ac:dyDescent="0.3">
      <c r="A6" s="64"/>
      <c r="B6" s="64"/>
      <c r="C6" s="22"/>
      <c r="E6" s="65"/>
    </row>
    <row r="7" spans="1:5" ht="31.5" customHeight="1" x14ac:dyDescent="0.3">
      <c r="A7" s="295" t="s">
        <v>702</v>
      </c>
      <c r="B7" s="405">
        <f>SUM(B8:B13)</f>
        <v>0.254</v>
      </c>
      <c r="C7" s="296">
        <f>ROUND(C5*10,0)</f>
        <v>68231</v>
      </c>
      <c r="E7" s="386"/>
    </row>
    <row r="8" spans="1:5" ht="15.9" customHeight="1" x14ac:dyDescent="0.3">
      <c r="A8" s="289" t="s">
        <v>317</v>
      </c>
      <c r="B8" s="73">
        <v>0.191</v>
      </c>
      <c r="C8" s="290">
        <f>ROUND($B8*$C$7,0)</f>
        <v>13032</v>
      </c>
    </row>
    <row r="9" spans="1:5" ht="15.9" customHeight="1" x14ac:dyDescent="0.3">
      <c r="A9" s="289" t="s">
        <v>318</v>
      </c>
      <c r="B9" s="73">
        <f>'RATE SHEET'!$B$8</f>
        <v>1.4500000000000001E-2</v>
      </c>
      <c r="C9" s="290">
        <f t="shared" ref="C9:C13" si="0">ROUND($B9*$C$7,0)</f>
        <v>989</v>
      </c>
    </row>
    <row r="10" spans="1:5" x14ac:dyDescent="0.3">
      <c r="A10" s="289" t="s">
        <v>319</v>
      </c>
      <c r="B10" s="73">
        <f>'RATE SHEET'!$B$9</f>
        <v>5.0000000000000001E-4</v>
      </c>
      <c r="C10" s="290">
        <f t="shared" si="0"/>
        <v>34</v>
      </c>
    </row>
    <row r="11" spans="1:5" x14ac:dyDescent="0.3">
      <c r="A11" s="289" t="s">
        <v>320</v>
      </c>
      <c r="B11" s="73">
        <f>'RATE SHEET'!$B$10</f>
        <v>1.6E-2</v>
      </c>
      <c r="C11" s="290">
        <f t="shared" si="0"/>
        <v>1092</v>
      </c>
    </row>
    <row r="12" spans="1:5" x14ac:dyDescent="0.3">
      <c r="A12" s="289" t="s">
        <v>321</v>
      </c>
      <c r="B12" s="73">
        <f>'RATE SHEET'!$B$12</f>
        <v>0.03</v>
      </c>
      <c r="C12" s="290">
        <f t="shared" si="0"/>
        <v>2047</v>
      </c>
    </row>
    <row r="13" spans="1:5" x14ac:dyDescent="0.3">
      <c r="A13" s="289" t="s">
        <v>322</v>
      </c>
      <c r="B13" s="73">
        <f>'RATE SHEET'!$B$11</f>
        <v>2E-3</v>
      </c>
      <c r="C13" s="290">
        <f t="shared" si="0"/>
        <v>136</v>
      </c>
    </row>
    <row r="14" spans="1:5" ht="17.399999999999999" x14ac:dyDescent="0.45">
      <c r="A14" s="289" t="s">
        <v>703</v>
      </c>
      <c r="B14" s="24"/>
      <c r="C14" s="291">
        <v>0</v>
      </c>
    </row>
    <row r="15" spans="1:5" ht="17.399999999999999" x14ac:dyDescent="0.45">
      <c r="A15" s="292" t="s">
        <v>704</v>
      </c>
      <c r="B15" s="293"/>
      <c r="C15" s="294">
        <f>SUM(C7:C14)</f>
        <v>85561</v>
      </c>
    </row>
    <row r="17" spans="1:3" s="26" customFormat="1" x14ac:dyDescent="0.3">
      <c r="A17" s="489" t="s">
        <v>705</v>
      </c>
      <c r="B17" s="489"/>
      <c r="C17" s="69">
        <f>C7/2</f>
        <v>34115.5</v>
      </c>
    </row>
    <row r="19" spans="1:3" x14ac:dyDescent="0.3">
      <c r="A19" s="23" t="s">
        <v>706</v>
      </c>
    </row>
    <row r="21" spans="1:3" x14ac:dyDescent="0.3">
      <c r="A21" s="23" t="s">
        <v>326</v>
      </c>
    </row>
    <row r="24" spans="1:3" x14ac:dyDescent="0.3">
      <c r="C24" s="65"/>
    </row>
    <row r="25" spans="1:3" x14ac:dyDescent="0.3">
      <c r="C25" s="65"/>
    </row>
    <row r="26" spans="1:3" x14ac:dyDescent="0.3">
      <c r="C26" s="65"/>
    </row>
  </sheetData>
  <sheetProtection algorithmName="SHA-512" hashValue="2Wd+9o8vDdT5okIOPI0BHxMqB/0iPkvfeDES4hLr+Xdi4IlI2U12ptsA4qMmDEE9fPmzJATl/22ubwt2yTThiw==" saltValue="f2A4xqvFCAool1OP22+Gqw==" spinCount="100000" sheet="1" selectLockedCells="1" selectUnlockedCells="1"/>
  <mergeCells count="1">
    <mergeCell ref="A17:B17"/>
  </mergeCells>
  <pageMargins left="0.75" right="0.75" top="1.45" bottom="1" header="0.5" footer="0.5"/>
  <pageSetup orientation="portrait" r:id="rId1"/>
  <headerFooter alignWithMargins="0">
    <oddHeader>&amp;C&amp;"Times New Roman,Regular"&amp;12Riverside Community College District
2013/2014 Part Time Faculty
Cost for 2.0 FTEs</oddHeader>
    <oddFooter>&amp;R&amp;9&amp;Z&amp;F</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92D050"/>
  </sheetPr>
  <dimension ref="A2:O42"/>
  <sheetViews>
    <sheetView workbookViewId="0">
      <selection activeCell="A59" sqref="A59:C59"/>
    </sheetView>
  </sheetViews>
  <sheetFormatPr defaultRowHeight="13.2" x14ac:dyDescent="0.25"/>
  <cols>
    <col min="1" max="1" width="13.88671875" customWidth="1"/>
    <col min="2" max="2" width="11.6640625" customWidth="1"/>
    <col min="4" max="4" width="17.109375" customWidth="1"/>
    <col min="5" max="5" width="10.33203125" bestFit="1" customWidth="1"/>
    <col min="7" max="7" width="10.33203125" bestFit="1" customWidth="1"/>
    <col min="9" max="9" width="10.33203125" bestFit="1" customWidth="1"/>
  </cols>
  <sheetData>
    <row r="2" spans="1:6" x14ac:dyDescent="0.25">
      <c r="A2" s="82" t="s">
        <v>707</v>
      </c>
      <c r="B2" s="215">
        <v>45994</v>
      </c>
      <c r="C2" s="71" t="s">
        <v>708</v>
      </c>
      <c r="D2" s="216" t="s">
        <v>709</v>
      </c>
      <c r="E2" s="71"/>
      <c r="F2" s="71"/>
    </row>
    <row r="3" spans="1:6" x14ac:dyDescent="0.25">
      <c r="A3" s="71"/>
      <c r="B3" s="71"/>
      <c r="C3" s="71"/>
      <c r="D3" s="71"/>
      <c r="E3" s="71"/>
      <c r="F3" s="71"/>
    </row>
    <row r="4" spans="1:6" x14ac:dyDescent="0.25">
      <c r="A4" s="217" t="s">
        <v>710</v>
      </c>
      <c r="B4" s="71"/>
      <c r="C4" s="71"/>
      <c r="D4" s="71" t="s">
        <v>711</v>
      </c>
      <c r="E4" s="71"/>
      <c r="F4" s="71"/>
    </row>
    <row r="5" spans="1:6" x14ac:dyDescent="0.25">
      <c r="A5" s="71" t="s">
        <v>317</v>
      </c>
      <c r="B5" s="218">
        <v>0.191</v>
      </c>
      <c r="C5" s="71"/>
      <c r="D5" s="71" t="s">
        <v>712</v>
      </c>
      <c r="E5" s="71" t="s">
        <v>713</v>
      </c>
      <c r="F5" s="351">
        <f>B7+B8+B9+B10+B11+B12</f>
        <v>0.125</v>
      </c>
    </row>
    <row r="6" spans="1:6" x14ac:dyDescent="0.25">
      <c r="A6" s="71" t="s">
        <v>714</v>
      </c>
      <c r="B6" s="218">
        <v>0.2681</v>
      </c>
      <c r="C6" s="71"/>
      <c r="D6" s="71" t="s">
        <v>715</v>
      </c>
      <c r="E6" s="71" t="s">
        <v>716</v>
      </c>
      <c r="F6" s="351">
        <f>B10+B11+B12</f>
        <v>4.8000000000000001E-2</v>
      </c>
    </row>
    <row r="7" spans="1:6" x14ac:dyDescent="0.25">
      <c r="A7" s="71" t="s">
        <v>717</v>
      </c>
      <c r="B7" s="218">
        <v>6.2E-2</v>
      </c>
      <c r="C7" s="71"/>
      <c r="D7" s="71" t="s">
        <v>718</v>
      </c>
      <c r="E7" s="71" t="s">
        <v>719</v>
      </c>
      <c r="F7" s="351">
        <f>B6+B7+B8+B9+B10+B11+B12</f>
        <v>0.3931</v>
      </c>
    </row>
    <row r="8" spans="1:6" x14ac:dyDescent="0.25">
      <c r="A8" s="71" t="s">
        <v>720</v>
      </c>
      <c r="B8" s="218">
        <v>1.4500000000000001E-2</v>
      </c>
      <c r="C8" s="71"/>
      <c r="D8" s="71" t="s">
        <v>721</v>
      </c>
      <c r="E8" s="71" t="s">
        <v>722</v>
      </c>
      <c r="F8" s="351">
        <f>B5+B8+B9+B10+B11+B12</f>
        <v>0.254</v>
      </c>
    </row>
    <row r="9" spans="1:6" x14ac:dyDescent="0.25">
      <c r="A9" s="71" t="s">
        <v>319</v>
      </c>
      <c r="B9" s="218">
        <v>5.0000000000000001E-4</v>
      </c>
      <c r="C9" s="71"/>
      <c r="D9" s="71" t="s">
        <v>723</v>
      </c>
      <c r="F9">
        <f>B8+B11+B9+B10+B12</f>
        <v>6.3E-2</v>
      </c>
    </row>
    <row r="10" spans="1:6" x14ac:dyDescent="0.25">
      <c r="A10" s="71" t="s">
        <v>724</v>
      </c>
      <c r="B10" s="218">
        <v>1.6E-2</v>
      </c>
      <c r="C10" s="71"/>
      <c r="D10" s="71"/>
      <c r="E10" s="71"/>
      <c r="F10" s="71"/>
    </row>
    <row r="11" spans="1:6" x14ac:dyDescent="0.25">
      <c r="A11" s="71" t="s">
        <v>322</v>
      </c>
      <c r="B11" s="218">
        <v>2E-3</v>
      </c>
      <c r="C11" s="71"/>
      <c r="D11" s="71"/>
      <c r="E11" s="71"/>
      <c r="F11" s="71"/>
    </row>
    <row r="12" spans="1:6" x14ac:dyDescent="0.25">
      <c r="A12" s="71" t="s">
        <v>321</v>
      </c>
      <c r="B12" s="218">
        <v>0.03</v>
      </c>
      <c r="C12" s="71"/>
      <c r="D12" s="71"/>
      <c r="E12" s="71"/>
      <c r="F12" s="299"/>
    </row>
    <row r="13" spans="1:6" x14ac:dyDescent="0.25">
      <c r="A13" s="71"/>
      <c r="B13" s="71"/>
      <c r="C13" s="71"/>
      <c r="D13" s="71"/>
      <c r="E13" s="299"/>
      <c r="F13" s="71"/>
    </row>
    <row r="14" spans="1:6" x14ac:dyDescent="0.25">
      <c r="A14" s="71"/>
      <c r="B14" s="71"/>
      <c r="C14" s="71"/>
      <c r="D14" s="71"/>
      <c r="E14" s="299"/>
      <c r="F14" s="71"/>
    </row>
    <row r="15" spans="1:6" x14ac:dyDescent="0.25">
      <c r="A15" s="87" t="s">
        <v>725</v>
      </c>
      <c r="B15" s="71"/>
      <c r="C15" s="71"/>
      <c r="D15" s="71"/>
      <c r="E15" s="71"/>
      <c r="F15" s="71"/>
    </row>
    <row r="16" spans="1:6" x14ac:dyDescent="0.25">
      <c r="A16" s="71" t="s">
        <v>726</v>
      </c>
      <c r="B16" s="265">
        <v>1269.5999999999999</v>
      </c>
      <c r="C16" s="71"/>
      <c r="D16" s="71"/>
      <c r="E16" s="71"/>
      <c r="F16" s="71"/>
    </row>
    <row r="17" spans="1:15" x14ac:dyDescent="0.25">
      <c r="A17" s="71" t="s">
        <v>727</v>
      </c>
      <c r="B17" s="219">
        <v>111</v>
      </c>
      <c r="C17" s="71"/>
      <c r="D17" s="71"/>
      <c r="E17" s="71"/>
      <c r="F17" s="71"/>
      <c r="G17" s="71"/>
    </row>
    <row r="18" spans="1:15" x14ac:dyDescent="0.25">
      <c r="A18" s="71" t="s">
        <v>728</v>
      </c>
      <c r="B18" s="219">
        <v>40771.199999999997</v>
      </c>
      <c r="C18" s="71"/>
      <c r="D18" s="71"/>
      <c r="E18" s="71"/>
      <c r="F18" s="71"/>
      <c r="G18" s="71"/>
    </row>
    <row r="19" spans="1:15" x14ac:dyDescent="0.25">
      <c r="A19" s="71"/>
      <c r="B19" s="220">
        <f>SUM(B16:B18)</f>
        <v>42151.799999999996</v>
      </c>
      <c r="C19" s="71"/>
      <c r="D19" s="71"/>
      <c r="E19" s="71"/>
      <c r="F19" s="71"/>
      <c r="G19" s="71"/>
    </row>
    <row r="20" spans="1:15" x14ac:dyDescent="0.25">
      <c r="A20" s="71"/>
      <c r="B20" s="40">
        <f>ROUND(B19,0)</f>
        <v>42152</v>
      </c>
      <c r="C20" s="71"/>
      <c r="D20" s="71"/>
      <c r="E20" s="71"/>
      <c r="F20" s="71"/>
      <c r="G20" s="71"/>
    </row>
    <row r="21" spans="1:15" x14ac:dyDescent="0.25">
      <c r="A21" s="71"/>
      <c r="B21" s="71"/>
      <c r="C21" s="71"/>
      <c r="D21" s="71"/>
      <c r="E21" s="71"/>
      <c r="F21" s="71"/>
      <c r="G21" s="71"/>
    </row>
    <row r="22" spans="1:15" x14ac:dyDescent="0.25">
      <c r="A22" s="87" t="s">
        <v>729</v>
      </c>
      <c r="B22" s="71"/>
      <c r="C22" s="71"/>
      <c r="D22" s="71"/>
      <c r="E22" s="71"/>
      <c r="F22" s="71"/>
      <c r="G22" s="299"/>
    </row>
    <row r="23" spans="1:15" x14ac:dyDescent="0.25">
      <c r="A23" s="71" t="s">
        <v>730</v>
      </c>
      <c r="B23" s="71"/>
      <c r="C23" s="71"/>
      <c r="D23" s="71"/>
      <c r="E23" s="71"/>
      <c r="F23" s="71"/>
      <c r="G23" s="71"/>
    </row>
    <row r="24" spans="1:15" x14ac:dyDescent="0.25">
      <c r="A24" s="71"/>
      <c r="B24" s="71"/>
      <c r="C24" s="71"/>
      <c r="D24" s="71"/>
      <c r="E24" s="71"/>
      <c r="F24" s="71"/>
      <c r="G24" s="71"/>
    </row>
    <row r="25" spans="1:15" x14ac:dyDescent="0.25">
      <c r="A25" s="256">
        <v>640</v>
      </c>
      <c r="B25" s="255" t="s">
        <v>731</v>
      </c>
      <c r="C25" s="255"/>
      <c r="D25" s="71"/>
      <c r="E25" s="71"/>
      <c r="F25" s="71"/>
      <c r="G25" s="71"/>
    </row>
    <row r="26" spans="1:15" x14ac:dyDescent="0.25">
      <c r="A26" s="256">
        <v>365</v>
      </c>
      <c r="B26" s="255" t="s">
        <v>732</v>
      </c>
      <c r="C26" s="255"/>
      <c r="D26" s="71"/>
      <c r="E26" s="71"/>
      <c r="F26" s="71"/>
      <c r="G26" s="71" t="s">
        <v>733</v>
      </c>
    </row>
    <row r="27" spans="1:15" x14ac:dyDescent="0.25">
      <c r="A27" s="256">
        <v>375</v>
      </c>
      <c r="B27" s="255" t="s">
        <v>734</v>
      </c>
      <c r="C27" s="255"/>
      <c r="D27" s="71"/>
      <c r="E27" s="71"/>
      <c r="F27" s="71"/>
      <c r="G27" s="71" t="s">
        <v>735</v>
      </c>
    </row>
    <row r="28" spans="1:15" x14ac:dyDescent="0.25">
      <c r="A28" s="256">
        <v>1280</v>
      </c>
      <c r="B28" s="255" t="s">
        <v>736</v>
      </c>
      <c r="C28" s="255"/>
      <c r="D28" s="71"/>
      <c r="E28" s="71"/>
      <c r="F28" s="71"/>
      <c r="G28" s="71"/>
    </row>
    <row r="29" spans="1:15" x14ac:dyDescent="0.25">
      <c r="A29" s="256">
        <v>890</v>
      </c>
      <c r="B29" s="255" t="s">
        <v>737</v>
      </c>
      <c r="C29" s="255"/>
      <c r="D29" s="71"/>
      <c r="E29" s="71"/>
      <c r="F29" s="71"/>
      <c r="G29" s="71"/>
    </row>
    <row r="30" spans="1:15" x14ac:dyDescent="0.25">
      <c r="A30" s="257">
        <v>1120</v>
      </c>
      <c r="B30" s="255" t="s">
        <v>738</v>
      </c>
      <c r="C30" s="255"/>
      <c r="D30" s="71"/>
      <c r="E30" s="71"/>
      <c r="F30" s="71"/>
      <c r="G30" s="71"/>
    </row>
    <row r="31" spans="1:15" x14ac:dyDescent="0.25">
      <c r="A31" s="258">
        <f>SUM(A25:A30)</f>
        <v>4670</v>
      </c>
      <c r="B31" s="255"/>
      <c r="C31" s="255"/>
      <c r="D31" s="71"/>
      <c r="E31" s="71"/>
      <c r="F31" s="71"/>
      <c r="G31" s="71"/>
      <c r="I31">
        <f>'[2]Total Cost of Position'!$F$5</f>
        <v>42790</v>
      </c>
      <c r="N31">
        <v>715.88</v>
      </c>
    </row>
    <row r="32" spans="1:15" x14ac:dyDescent="0.25">
      <c r="A32" s="259">
        <f>ROUND(A31*B32,0)</f>
        <v>409</v>
      </c>
      <c r="B32" s="255">
        <v>8.7499999999999994E-2</v>
      </c>
      <c r="C32" s="255" t="s">
        <v>739</v>
      </c>
      <c r="D32" s="71"/>
      <c r="E32" s="71"/>
      <c r="F32" s="71"/>
      <c r="G32" s="71"/>
      <c r="I32">
        <f>$I$31*F5</f>
        <v>5348.75</v>
      </c>
      <c r="N32">
        <v>10.38</v>
      </c>
      <c r="O32" s="391">
        <f>N32/$N$31</f>
        <v>1.4499636810638655E-2</v>
      </c>
    </row>
    <row r="33" spans="1:15" x14ac:dyDescent="0.25">
      <c r="A33" s="260">
        <f>A32+A31</f>
        <v>5079</v>
      </c>
      <c r="B33" s="255"/>
      <c r="C33" s="255"/>
      <c r="D33" s="71"/>
      <c r="E33" s="71"/>
      <c r="F33" s="71"/>
      <c r="G33" s="71"/>
      <c r="I33">
        <f t="shared" ref="I33:I35" si="0">$I$31*F6</f>
        <v>2053.92</v>
      </c>
      <c r="N33">
        <v>1.43</v>
      </c>
      <c r="O33" s="391">
        <f t="shared" ref="O33:O35" si="1">N33/$N$31</f>
        <v>1.9975414874001227E-3</v>
      </c>
    </row>
    <row r="34" spans="1:15" x14ac:dyDescent="0.25">
      <c r="A34" s="257">
        <v>1000</v>
      </c>
      <c r="B34" s="255" t="s">
        <v>740</v>
      </c>
      <c r="C34" s="255"/>
      <c r="I34">
        <f t="shared" si="0"/>
        <v>16820.749</v>
      </c>
      <c r="N34">
        <v>0.36</v>
      </c>
      <c r="O34" s="391">
        <f t="shared" si="1"/>
        <v>5.0287757724758338E-4</v>
      </c>
    </row>
    <row r="35" spans="1:15" x14ac:dyDescent="0.25">
      <c r="A35" s="261">
        <f>A34+A33</f>
        <v>6079</v>
      </c>
      <c r="B35" s="255"/>
      <c r="C35" s="255"/>
      <c r="I35">
        <f t="shared" si="0"/>
        <v>10868.66</v>
      </c>
      <c r="N35">
        <v>11.45</v>
      </c>
      <c r="O35" s="390">
        <f t="shared" si="1"/>
        <v>1.5994300720791194E-2</v>
      </c>
    </row>
    <row r="36" spans="1:15" x14ac:dyDescent="0.25">
      <c r="A36" s="256">
        <v>200</v>
      </c>
      <c r="B36" s="255" t="s">
        <v>741</v>
      </c>
      <c r="C36" s="255"/>
      <c r="O36" s="392">
        <f>SUM(O32:O35)</f>
        <v>3.2994356596077551E-2</v>
      </c>
    </row>
    <row r="37" spans="1:15" x14ac:dyDescent="0.25">
      <c r="A37" s="257">
        <v>0</v>
      </c>
      <c r="B37" s="255" t="s">
        <v>742</v>
      </c>
      <c r="C37" s="255"/>
    </row>
    <row r="38" spans="1:15" x14ac:dyDescent="0.25">
      <c r="A38" s="258">
        <f>A37+A36</f>
        <v>200</v>
      </c>
      <c r="B38" s="255"/>
      <c r="C38" s="255"/>
    </row>
    <row r="39" spans="1:15" x14ac:dyDescent="0.25">
      <c r="A39" s="262">
        <f>ROUND(A38*B39,0)</f>
        <v>18</v>
      </c>
      <c r="B39" s="255">
        <f>$B$32</f>
        <v>8.7499999999999994E-2</v>
      </c>
      <c r="C39" s="255" t="s">
        <v>739</v>
      </c>
    </row>
    <row r="40" spans="1:15" x14ac:dyDescent="0.25">
      <c r="A40" s="263">
        <f>A39+A38</f>
        <v>218</v>
      </c>
      <c r="B40" s="255"/>
      <c r="C40" s="255"/>
    </row>
    <row r="41" spans="1:15" ht="13.8" thickBot="1" x14ac:dyDescent="0.3">
      <c r="A41" s="71"/>
      <c r="B41" s="71"/>
      <c r="C41" s="71"/>
    </row>
    <row r="42" spans="1:15" ht="14.4" thickTop="1" thickBot="1" x14ac:dyDescent="0.3">
      <c r="A42" s="221">
        <f>A40+A35</f>
        <v>6297</v>
      </c>
      <c r="B42" s="222" t="s">
        <v>23</v>
      </c>
      <c r="C42" s="71"/>
    </row>
  </sheetData>
  <sheetProtection algorithmName="SHA-512" hashValue="1dG8WrStZGnIBJeqo+sAbsXbZGp933h9e3sbnb/rfTObnldZ4kQ9hd+1/IppOiJnueWFYg/3tiPqsDGf8s7sMA==" saltValue="6vxNhtTZafytLAZXn16EEQ==" spinCount="100000" sheet="1" selectLockedCells="1" selectUnlockedCells="1"/>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8"/>
  <dimension ref="A1:K35"/>
  <sheetViews>
    <sheetView workbookViewId="0">
      <selection activeCell="J16" sqref="J16"/>
    </sheetView>
  </sheetViews>
  <sheetFormatPr defaultRowHeight="13.2" x14ac:dyDescent="0.25"/>
  <cols>
    <col min="1" max="1" width="62.33203125" customWidth="1"/>
    <col min="2" max="2" width="11" customWidth="1"/>
    <col min="3" max="3" width="10.33203125" customWidth="1"/>
    <col min="4" max="4" width="12.6640625" customWidth="1"/>
    <col min="9" max="9" width="10.109375" bestFit="1" customWidth="1"/>
    <col min="11" max="11" width="11.33203125" style="271" bestFit="1" customWidth="1"/>
  </cols>
  <sheetData>
    <row r="1" spans="1:9" ht="27.6" x14ac:dyDescent="0.25">
      <c r="A1" s="152" t="s">
        <v>1375</v>
      </c>
      <c r="B1" s="153" t="s">
        <v>1376</v>
      </c>
      <c r="C1" s="153" t="s">
        <v>1377</v>
      </c>
      <c r="D1" s="152"/>
    </row>
    <row r="2" spans="1:9" ht="15.6" x14ac:dyDescent="0.25">
      <c r="A2" s="154" t="s">
        <v>1378</v>
      </c>
      <c r="B2" s="225" t="s">
        <v>1379</v>
      </c>
      <c r="C2" s="225">
        <v>1</v>
      </c>
      <c r="D2" s="166">
        <v>1850</v>
      </c>
    </row>
    <row r="3" spans="1:9" ht="15.9" customHeight="1" x14ac:dyDescent="0.4">
      <c r="A3" s="154" t="s">
        <v>1380</v>
      </c>
      <c r="B3" s="154"/>
      <c r="C3" s="154"/>
      <c r="D3" s="164"/>
      <c r="G3" s="76"/>
      <c r="H3" s="76"/>
      <c r="I3" s="76"/>
    </row>
    <row r="4" spans="1:9" ht="26.25" customHeight="1" x14ac:dyDescent="0.4">
      <c r="A4" s="154" t="s">
        <v>1381</v>
      </c>
      <c r="B4" s="154"/>
      <c r="C4" s="154"/>
      <c r="D4" s="164">
        <v>600</v>
      </c>
      <c r="E4" s="31" t="s">
        <v>1382</v>
      </c>
      <c r="G4" s="76"/>
      <c r="H4" s="76"/>
      <c r="I4" s="76"/>
    </row>
    <row r="5" spans="1:9" ht="15.6" x14ac:dyDescent="0.25">
      <c r="A5" s="154" t="s">
        <v>1383</v>
      </c>
      <c r="B5" s="154"/>
      <c r="C5" s="154"/>
      <c r="D5" s="164">
        <v>250</v>
      </c>
    </row>
    <row r="6" spans="1:9" ht="15.6" x14ac:dyDescent="0.25">
      <c r="A6" s="154" t="s">
        <v>1384</v>
      </c>
      <c r="B6" s="154"/>
      <c r="C6" s="154"/>
      <c r="D6" s="164">
        <v>0</v>
      </c>
      <c r="E6" s="31"/>
      <c r="I6" s="71"/>
    </row>
    <row r="7" spans="1:9" ht="17.399999999999999" x14ac:dyDescent="0.25">
      <c r="A7" s="154" t="s">
        <v>1385</v>
      </c>
      <c r="B7" s="154"/>
      <c r="C7" s="154"/>
      <c r="D7" s="165">
        <v>0</v>
      </c>
    </row>
    <row r="8" spans="1:9" ht="15.6" x14ac:dyDescent="0.25">
      <c r="A8" s="154" t="s">
        <v>1386</v>
      </c>
      <c r="B8" s="154"/>
      <c r="C8" s="154"/>
      <c r="D8" s="166">
        <f>SUM(D2:D7)</f>
        <v>2700</v>
      </c>
    </row>
    <row r="9" spans="1:9" ht="15.6" x14ac:dyDescent="0.25">
      <c r="A9" s="155"/>
      <c r="B9" s="155"/>
      <c r="C9" s="155"/>
      <c r="D9" s="156"/>
    </row>
    <row r="10" spans="1:9" ht="18" x14ac:dyDescent="0.25">
      <c r="A10" s="152" t="s">
        <v>1387</v>
      </c>
      <c r="B10" s="152"/>
      <c r="C10" s="152"/>
      <c r="D10" s="157"/>
    </row>
    <row r="11" spans="1:9" ht="15.6" x14ac:dyDescent="0.25">
      <c r="A11" s="154" t="s">
        <v>1388</v>
      </c>
      <c r="B11" s="154"/>
      <c r="C11" s="154"/>
      <c r="D11" s="167">
        <v>5</v>
      </c>
      <c r="E11" s="70"/>
    </row>
    <row r="12" spans="1:9" ht="15.6" x14ac:dyDescent="0.25">
      <c r="A12" s="154" t="s">
        <v>1389</v>
      </c>
      <c r="B12" s="154"/>
      <c r="C12" s="154"/>
      <c r="D12" s="167">
        <f>IF($D$2="","",((180000/6000)*$C$2))</f>
        <v>30</v>
      </c>
      <c r="E12" s="70"/>
    </row>
    <row r="13" spans="1:9" ht="17.399999999999999" x14ac:dyDescent="0.25">
      <c r="A13" s="154" t="s">
        <v>1390</v>
      </c>
      <c r="B13" s="154"/>
      <c r="C13" s="154"/>
      <c r="D13" s="168">
        <f>IF($D$2="",0,(($D$2*0.1)*$D$11))</f>
        <v>925</v>
      </c>
    </row>
    <row r="14" spans="1:9" ht="15.6" x14ac:dyDescent="0.25">
      <c r="A14" s="154"/>
      <c r="B14" s="154"/>
      <c r="C14" s="154"/>
      <c r="D14" s="169">
        <f>SUM(D12:D13)</f>
        <v>955</v>
      </c>
      <c r="E14" s="70"/>
    </row>
    <row r="15" spans="1:9" ht="18" x14ac:dyDescent="0.25">
      <c r="A15" s="152" t="s">
        <v>1391</v>
      </c>
      <c r="B15" s="154"/>
      <c r="C15" s="154"/>
      <c r="D15" s="158"/>
      <c r="E15" s="70"/>
    </row>
    <row r="16" spans="1:9" ht="15.6" x14ac:dyDescent="0.25">
      <c r="A16" s="154" t="s">
        <v>1392</v>
      </c>
      <c r="B16" s="154"/>
      <c r="C16" s="154"/>
      <c r="D16" s="164">
        <v>5</v>
      </c>
      <c r="E16" s="70"/>
    </row>
    <row r="17" spans="1:4" ht="15.6" x14ac:dyDescent="0.25">
      <c r="A17" s="154" t="s">
        <v>1389</v>
      </c>
      <c r="B17" s="154"/>
      <c r="C17" s="154"/>
      <c r="D17" s="170">
        <f>IF(D16=0,0,(180000/6000))</f>
        <v>30</v>
      </c>
    </row>
    <row r="18" spans="1:4" ht="17.399999999999999" x14ac:dyDescent="0.25">
      <c r="A18" s="154" t="s">
        <v>1393</v>
      </c>
      <c r="B18" s="154"/>
      <c r="C18" s="154"/>
      <c r="D18" s="168">
        <f>IF(D3=0,0,(D3/D16))</f>
        <v>0</v>
      </c>
    </row>
    <row r="19" spans="1:4" ht="15.6" x14ac:dyDescent="0.25">
      <c r="A19" s="154"/>
      <c r="B19" s="154"/>
      <c r="C19" s="154"/>
      <c r="D19" s="166">
        <f>(D16*D17)+D18</f>
        <v>150</v>
      </c>
    </row>
    <row r="20" spans="1:4" ht="17.399999999999999" x14ac:dyDescent="0.25">
      <c r="A20" s="154"/>
      <c r="B20" s="154"/>
      <c r="C20" s="154"/>
      <c r="D20" s="159"/>
    </row>
    <row r="21" spans="1:4" ht="15.6" x14ac:dyDescent="0.25">
      <c r="A21" s="154" t="s">
        <v>1394</v>
      </c>
      <c r="B21" s="154"/>
      <c r="C21" s="154"/>
      <c r="D21" s="166">
        <f>D14+D19</f>
        <v>1105</v>
      </c>
    </row>
    <row r="22" spans="1:4" ht="15.6" x14ac:dyDescent="0.25">
      <c r="A22" s="160"/>
      <c r="B22" s="160"/>
      <c r="C22" s="160"/>
      <c r="D22" s="161"/>
    </row>
    <row r="23" spans="1:4" ht="18" x14ac:dyDescent="0.25">
      <c r="A23" s="152" t="s">
        <v>1395</v>
      </c>
      <c r="B23" s="152"/>
      <c r="C23" s="152"/>
      <c r="D23" s="157"/>
    </row>
    <row r="24" spans="1:4" ht="15.6" x14ac:dyDescent="0.25">
      <c r="A24" s="154" t="s">
        <v>1396</v>
      </c>
      <c r="B24" s="154"/>
      <c r="C24" s="154"/>
      <c r="D24" s="171">
        <f>D8+D21</f>
        <v>3805</v>
      </c>
    </row>
    <row r="25" spans="1:4" x14ac:dyDescent="0.25">
      <c r="A25" s="162"/>
      <c r="B25" s="162"/>
      <c r="C25" s="162"/>
      <c r="D25" s="163"/>
    </row>
    <row r="26" spans="1:4" x14ac:dyDescent="0.25">
      <c r="D26" s="18"/>
    </row>
    <row r="27" spans="1:4" x14ac:dyDescent="0.25">
      <c r="D27" s="18"/>
    </row>
    <row r="28" spans="1:4" x14ac:dyDescent="0.25">
      <c r="D28" s="18"/>
    </row>
    <row r="29" spans="1:4" ht="13.5" customHeight="1" x14ac:dyDescent="0.25">
      <c r="A29" s="71"/>
    </row>
    <row r="30" spans="1:4" hidden="1" x14ac:dyDescent="0.25">
      <c r="A30" s="71" t="s">
        <v>1397</v>
      </c>
    </row>
    <row r="31" spans="1:4" hidden="1" x14ac:dyDescent="0.25">
      <c r="A31" t="s">
        <v>1398</v>
      </c>
      <c r="B31">
        <v>350</v>
      </c>
      <c r="C31" t="s">
        <v>1399</v>
      </c>
      <c r="D31" s="18"/>
    </row>
    <row r="32" spans="1:4" hidden="1" x14ac:dyDescent="0.25">
      <c r="A32" t="s">
        <v>1400</v>
      </c>
      <c r="B32">
        <v>300</v>
      </c>
      <c r="C32" t="s">
        <v>1399</v>
      </c>
    </row>
    <row r="34" spans="1:1" hidden="1" x14ac:dyDescent="0.25">
      <c r="A34" t="s">
        <v>1401</v>
      </c>
    </row>
    <row r="35" spans="1:1" hidden="1" x14ac:dyDescent="0.25">
      <c r="A35" s="71" t="s">
        <v>1402</v>
      </c>
    </row>
  </sheetData>
  <dataValidations count="2">
    <dataValidation type="list" allowBlank="1" showInputMessage="1" showErrorMessage="1" sqref="B2" xr:uid="{00000000-0002-0000-0A00-000000000000}">
      <formula1>"N/A,PC, MAC"</formula1>
    </dataValidation>
    <dataValidation type="whole" allowBlank="1" showInputMessage="1" showErrorMessage="1" sqref="C2" xr:uid="{00000000-0002-0000-0A00-000001000000}">
      <formula1>0</formula1>
      <formula2>1000000</formula2>
    </dataValidation>
  </dataValidations>
  <pageMargins left="0.25" right="0.25" top="0.75" bottom="0.75" header="0.3" footer="0.3"/>
  <pageSetup orientation="portrait"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pageSetUpPr fitToPage="1"/>
  </sheetPr>
  <dimension ref="A1:S30"/>
  <sheetViews>
    <sheetView workbookViewId="0">
      <selection activeCell="K19" sqref="K19"/>
    </sheetView>
  </sheetViews>
  <sheetFormatPr defaultRowHeight="13.2" x14ac:dyDescent="0.25"/>
  <cols>
    <col min="1" max="1" width="7.33203125" customWidth="1"/>
    <col min="2" max="2" width="10.6640625" customWidth="1"/>
    <col min="3" max="3" width="12.6640625" bestFit="1" customWidth="1"/>
    <col min="4" max="4" width="1.6640625" customWidth="1"/>
    <col min="5" max="5" width="12.6640625" bestFit="1" customWidth="1"/>
    <col min="6" max="6" width="19.88671875" customWidth="1"/>
    <col min="7" max="7" width="11" customWidth="1"/>
    <col min="8" max="8" width="11.6640625" customWidth="1"/>
    <col min="9" max="9" width="1.6640625" customWidth="1"/>
    <col min="10" max="10" width="16.6640625" customWidth="1"/>
    <col min="11" max="11" width="16.109375" customWidth="1"/>
    <col min="12" max="12" width="12.33203125" customWidth="1"/>
    <col min="13" max="13" width="14" customWidth="1"/>
    <col min="14" max="14" width="1.6640625" customWidth="1"/>
    <col min="15" max="15" width="10" bestFit="1" customWidth="1"/>
    <col min="16" max="16" width="17.109375" customWidth="1"/>
    <col min="17" max="17" width="10.109375" customWidth="1"/>
    <col min="18" max="18" width="11.109375" customWidth="1"/>
    <col min="20" max="20" width="12.88671875" bestFit="1" customWidth="1"/>
    <col min="22" max="22" width="14.33203125" customWidth="1"/>
  </cols>
  <sheetData>
    <row r="1" spans="1:19" ht="25.8" x14ac:dyDescent="0.5">
      <c r="A1" s="172" t="s">
        <v>1295</v>
      </c>
      <c r="B1" s="162"/>
      <c r="C1" s="162"/>
      <c r="D1" s="162"/>
      <c r="E1" s="230"/>
      <c r="F1" s="231"/>
      <c r="G1" s="231"/>
      <c r="H1" s="231"/>
      <c r="I1" s="231"/>
      <c r="J1" s="232"/>
      <c r="K1" s="232"/>
      <c r="L1" s="232"/>
      <c r="M1" s="232"/>
      <c r="N1" s="231"/>
      <c r="O1" s="231"/>
      <c r="P1" s="231"/>
      <c r="Q1" s="231"/>
      <c r="R1" s="162"/>
    </row>
    <row r="2" spans="1:19" ht="25.8" x14ac:dyDescent="0.5">
      <c r="A2" s="174" t="s">
        <v>1296</v>
      </c>
      <c r="B2" s="175"/>
      <c r="C2" s="162"/>
      <c r="D2" s="162"/>
      <c r="E2" s="162"/>
      <c r="F2" s="162"/>
      <c r="G2" s="162"/>
      <c r="H2" s="162"/>
      <c r="I2" s="162"/>
      <c r="J2" s="173"/>
      <c r="K2" s="173"/>
      <c r="L2" s="173"/>
      <c r="M2" s="173"/>
      <c r="N2" s="162"/>
      <c r="O2" s="162"/>
      <c r="P2" s="162"/>
      <c r="Q2" s="162"/>
      <c r="R2" s="162"/>
    </row>
    <row r="3" spans="1:19" x14ac:dyDescent="0.25">
      <c r="A3" s="162"/>
      <c r="B3" s="162"/>
      <c r="C3" s="162"/>
      <c r="D3" s="162"/>
      <c r="E3" s="162"/>
      <c r="F3" s="162"/>
      <c r="G3" s="162"/>
      <c r="H3" s="162"/>
      <c r="I3" s="162"/>
      <c r="J3" s="162"/>
      <c r="K3" s="162"/>
      <c r="L3" s="162"/>
      <c r="M3" s="162"/>
      <c r="N3" s="162"/>
      <c r="O3" s="162"/>
      <c r="P3" s="162"/>
      <c r="Q3" s="162"/>
      <c r="R3" s="162"/>
    </row>
    <row r="4" spans="1:19" x14ac:dyDescent="0.25">
      <c r="A4" s="162"/>
      <c r="B4" s="162"/>
      <c r="C4" s="162"/>
      <c r="D4" s="162"/>
      <c r="E4" s="162"/>
      <c r="F4" s="162"/>
      <c r="G4" s="162"/>
      <c r="H4" s="224"/>
      <c r="I4" s="162"/>
      <c r="J4" s="162"/>
      <c r="K4" s="162"/>
      <c r="L4" s="162"/>
      <c r="M4" s="224"/>
      <c r="N4" s="162"/>
      <c r="O4" s="162"/>
      <c r="P4" s="162"/>
      <c r="Q4" s="162"/>
      <c r="R4" s="162"/>
    </row>
    <row r="5" spans="1:19" x14ac:dyDescent="0.25">
      <c r="A5" s="162"/>
      <c r="B5" s="162"/>
      <c r="C5" s="162"/>
      <c r="D5" s="162"/>
      <c r="E5" s="162"/>
      <c r="F5" s="162"/>
      <c r="G5" s="162"/>
      <c r="H5" s="162"/>
      <c r="I5" s="162"/>
      <c r="J5" s="162"/>
      <c r="K5" s="162"/>
      <c r="L5" s="162"/>
      <c r="M5" s="162"/>
      <c r="N5" s="162"/>
      <c r="O5" s="162"/>
      <c r="P5" s="162"/>
      <c r="Q5" s="162"/>
      <c r="R5" s="162"/>
    </row>
    <row r="6" spans="1:19" x14ac:dyDescent="0.25">
      <c r="A6" s="162"/>
      <c r="B6" s="162"/>
      <c r="C6" s="162"/>
      <c r="D6" s="162"/>
      <c r="E6" s="297" t="s">
        <v>1297</v>
      </c>
      <c r="F6" s="162"/>
      <c r="G6" s="162"/>
      <c r="H6" s="162"/>
      <c r="I6" s="162"/>
      <c r="J6" s="162"/>
      <c r="K6" s="162"/>
      <c r="L6" s="162"/>
      <c r="M6" s="162"/>
      <c r="N6" s="162"/>
      <c r="O6" s="162"/>
      <c r="P6" s="162"/>
      <c r="Q6" s="162"/>
      <c r="R6" s="162"/>
    </row>
    <row r="7" spans="1:19" x14ac:dyDescent="0.25">
      <c r="A7" s="162"/>
      <c r="B7" s="162"/>
      <c r="C7" s="162"/>
      <c r="D7" s="162"/>
      <c r="E7" s="176">
        <v>5510</v>
      </c>
      <c r="F7" s="177"/>
      <c r="G7" s="177"/>
      <c r="H7" s="178"/>
      <c r="I7" s="162"/>
      <c r="J7" s="176">
        <v>5520</v>
      </c>
      <c r="K7" s="177"/>
      <c r="L7" s="177"/>
      <c r="M7" s="178"/>
      <c r="N7" s="162"/>
      <c r="O7" s="176">
        <v>5530</v>
      </c>
      <c r="P7" s="177"/>
      <c r="Q7" s="177"/>
      <c r="R7" s="178"/>
    </row>
    <row r="8" spans="1:19" ht="21" x14ac:dyDescent="0.4">
      <c r="A8" s="179" t="s">
        <v>1298</v>
      </c>
      <c r="B8" s="180" t="s">
        <v>1299</v>
      </c>
      <c r="C8" s="180" t="s">
        <v>1300</v>
      </c>
      <c r="D8" s="181"/>
      <c r="E8" s="182" t="s">
        <v>1301</v>
      </c>
      <c r="F8" s="180" t="s">
        <v>1302</v>
      </c>
      <c r="G8" s="180" t="s">
        <v>1303</v>
      </c>
      <c r="H8" s="183" t="s">
        <v>1304</v>
      </c>
      <c r="I8" s="162"/>
      <c r="J8" s="182" t="s">
        <v>1305</v>
      </c>
      <c r="K8" s="180" t="s">
        <v>1302</v>
      </c>
      <c r="L8" s="180" t="s">
        <v>1303</v>
      </c>
      <c r="M8" s="183" t="s">
        <v>1304</v>
      </c>
      <c r="N8" s="162"/>
      <c r="O8" s="182" t="s">
        <v>1306</v>
      </c>
      <c r="P8" s="180" t="s">
        <v>1302</v>
      </c>
      <c r="Q8" s="180" t="s">
        <v>1303</v>
      </c>
      <c r="R8" s="183" t="s">
        <v>1304</v>
      </c>
    </row>
    <row r="9" spans="1:19" ht="43.2" x14ac:dyDescent="0.25">
      <c r="A9" s="184" t="s">
        <v>1307</v>
      </c>
      <c r="B9" s="195">
        <f>'All Building Summary'!H7</f>
        <v>154887</v>
      </c>
      <c r="C9" s="195">
        <f>'All Building Summary'!G4</f>
        <v>585153</v>
      </c>
      <c r="D9" s="185"/>
      <c r="E9" s="197">
        <v>6783</v>
      </c>
      <c r="F9" s="284" t="s">
        <v>1308</v>
      </c>
      <c r="G9" s="203">
        <f>+E9/B9</f>
        <v>4.3793216990451106E-2</v>
      </c>
      <c r="H9" s="198">
        <f>+E9/C9</f>
        <v>1.1591840082850127E-2</v>
      </c>
      <c r="I9" s="186"/>
      <c r="J9" s="197">
        <f>SUMIFS('VFS Utilities - FY 25-26'!$L$9:$L$46,'VFS Utilities - FY 25-26'!$C$9:$C$46,"A",'VFS Utilities - FY 25-26'!$H$9:$H$46,$J$7)</f>
        <v>0</v>
      </c>
      <c r="K9" s="187" t="s">
        <v>1309</v>
      </c>
      <c r="L9" s="203">
        <f>+J9/B9</f>
        <v>0</v>
      </c>
      <c r="M9" s="198">
        <f>+J9/C9</f>
        <v>0</v>
      </c>
      <c r="N9" s="186"/>
      <c r="O9" s="197">
        <f>SUMIFS('VFS Utilities - FY 25-26'!$L$9:$L$46,'VFS Utilities - FY 25-26'!$C$9:$C$46,"A",'VFS Utilities - FY 25-26'!$H$9:$H$46,$O$7)</f>
        <v>0</v>
      </c>
      <c r="P9" s="187" t="s">
        <v>1310</v>
      </c>
      <c r="Q9" s="207">
        <f>+O9/B9</f>
        <v>0</v>
      </c>
      <c r="R9" s="201">
        <f>+O9/C9</f>
        <v>0</v>
      </c>
    </row>
    <row r="10" spans="1:19" ht="14.4" x14ac:dyDescent="0.3">
      <c r="A10" s="184" t="s">
        <v>1311</v>
      </c>
      <c r="B10" s="196">
        <f>'All Building Summary'!H4</f>
        <v>1333188</v>
      </c>
      <c r="C10" s="196">
        <f>'All Building Summary'!G4</f>
        <v>585153</v>
      </c>
      <c r="D10" s="188"/>
      <c r="E10" s="326">
        <v>389288</v>
      </c>
      <c r="F10" s="189" t="s">
        <v>1308</v>
      </c>
      <c r="G10" s="204">
        <f>+E10/B10</f>
        <v>0.29199782776322619</v>
      </c>
      <c r="H10" s="199">
        <f>+E10/C10</f>
        <v>0.66527557749853461</v>
      </c>
      <c r="I10" s="190"/>
      <c r="J10" s="326">
        <v>2062511</v>
      </c>
      <c r="K10" s="189" t="s">
        <v>1312</v>
      </c>
      <c r="L10" s="204">
        <f>+J10/(B10+B9)</f>
        <v>1.3860262419568905</v>
      </c>
      <c r="M10" s="199">
        <f>+J10/(C10+C9)</f>
        <v>1.7623689872563244</v>
      </c>
      <c r="N10" s="190"/>
      <c r="O10" s="326">
        <v>264185</v>
      </c>
      <c r="P10" s="189" t="s">
        <v>1312</v>
      </c>
      <c r="Q10" s="208">
        <f>+O10/B10</f>
        <v>0.19816034947809311</v>
      </c>
      <c r="R10" s="202">
        <f>+O10/C10</f>
        <v>0.45148021115844916</v>
      </c>
    </row>
    <row r="11" spans="1:19" ht="14.4" x14ac:dyDescent="0.3">
      <c r="A11" s="184" t="s">
        <v>1313</v>
      </c>
      <c r="B11" s="196">
        <f>'All Building Summary'!H6</f>
        <v>260528</v>
      </c>
      <c r="C11" s="196">
        <f>'All Building Summary'!G6</f>
        <v>174858</v>
      </c>
      <c r="D11" s="188"/>
      <c r="E11" s="326">
        <v>142363</v>
      </c>
      <c r="F11" s="189" t="s">
        <v>1308</v>
      </c>
      <c r="G11" s="204">
        <f>+E11/B11</f>
        <v>0.54644030584044712</v>
      </c>
      <c r="H11" s="199">
        <f>+E11/C11</f>
        <v>0.81416349266261767</v>
      </c>
      <c r="I11" s="190"/>
      <c r="J11" s="326">
        <v>1007195</v>
      </c>
      <c r="K11" s="189" t="s">
        <v>1314</v>
      </c>
      <c r="L11" s="204">
        <f>+J11/B11</f>
        <v>3.8659760179328133</v>
      </c>
      <c r="M11" s="199">
        <f>+J11/C11</f>
        <v>5.7600738885266907</v>
      </c>
      <c r="N11" s="190"/>
      <c r="O11" s="326">
        <v>136684</v>
      </c>
      <c r="P11" s="189" t="s">
        <v>1315</v>
      </c>
      <c r="Q11" s="208">
        <f>+O11/B11</f>
        <v>0.52464226493889332</v>
      </c>
      <c r="R11" s="202">
        <f>+O11/C11</f>
        <v>0.78168571069096071</v>
      </c>
    </row>
    <row r="12" spans="1:19" ht="14.4" x14ac:dyDescent="0.3">
      <c r="A12" s="184" t="s">
        <v>1316</v>
      </c>
      <c r="B12" s="196">
        <f>'All Building Summary'!H5+'All Building Summary'!H8</f>
        <v>292508</v>
      </c>
      <c r="C12" s="196">
        <f>'All Building Summary'!G5+'All Building Summary'!G8</f>
        <v>185029</v>
      </c>
      <c r="D12" s="188"/>
      <c r="E12" s="327">
        <v>53976</v>
      </c>
      <c r="F12" s="191" t="s">
        <v>1308</v>
      </c>
      <c r="G12" s="205">
        <f>+E12/B12</f>
        <v>0.1845282864058419</v>
      </c>
      <c r="H12" s="200">
        <f>+E12/C12</f>
        <v>0.29171643364013211</v>
      </c>
      <c r="I12" s="190"/>
      <c r="J12" s="327">
        <v>810226</v>
      </c>
      <c r="K12" s="191" t="s">
        <v>1314</v>
      </c>
      <c r="L12" s="205">
        <f>+J12/B12</f>
        <v>2.7699276600981855</v>
      </c>
      <c r="M12" s="200">
        <f>+J12/C12</f>
        <v>4.3789135757097535</v>
      </c>
      <c r="N12" s="190"/>
      <c r="O12" s="326">
        <v>91939</v>
      </c>
      <c r="P12" s="191" t="s">
        <v>1317</v>
      </c>
      <c r="Q12" s="209">
        <f>+O12/B12</f>
        <v>0.31431277093276083</v>
      </c>
      <c r="R12" s="202">
        <f>+O12/C12</f>
        <v>0.49688967675337381</v>
      </c>
      <c r="S12" s="281" t="s">
        <v>23</v>
      </c>
    </row>
    <row r="13" spans="1:19" ht="14.4" x14ac:dyDescent="0.3">
      <c r="A13" s="162"/>
      <c r="B13" s="162"/>
      <c r="C13" s="162"/>
      <c r="D13" s="162"/>
      <c r="E13" s="162"/>
      <c r="F13" s="189" t="s">
        <v>1318</v>
      </c>
      <c r="G13" s="206">
        <f>(G10+G11+G12+G9)/4</f>
        <v>0.26668990924999159</v>
      </c>
      <c r="H13" s="189"/>
      <c r="I13" s="189"/>
      <c r="J13" s="162"/>
      <c r="K13" s="189" t="s">
        <v>1318</v>
      </c>
      <c r="L13" s="206">
        <f>(L10+L11+L12)/3</f>
        <v>2.673976639995963</v>
      </c>
      <c r="M13" s="162"/>
      <c r="N13" s="189"/>
      <c r="O13" s="177"/>
      <c r="P13" s="189" t="s">
        <v>1318</v>
      </c>
      <c r="Q13" s="206">
        <f>(Q10+Q11+Q12)/3</f>
        <v>0.34570512844991574</v>
      </c>
      <c r="R13" s="177"/>
      <c r="S13" s="40">
        <f>+G13+L13+Q13</f>
        <v>3.2863716776958705</v>
      </c>
    </row>
    <row r="14" spans="1:19" x14ac:dyDescent="0.25">
      <c r="A14" s="162"/>
      <c r="B14" s="162"/>
      <c r="C14" s="162"/>
      <c r="D14" s="162"/>
      <c r="E14" s="162"/>
      <c r="F14" s="297" t="s">
        <v>1319</v>
      </c>
      <c r="G14" s="298">
        <f>+SUM(E9:E12)/SUM(B9:B12)</f>
        <v>0.29023899239188855</v>
      </c>
      <c r="H14" s="297"/>
      <c r="I14" s="297"/>
      <c r="J14" s="297"/>
      <c r="K14" s="297" t="s">
        <v>1319</v>
      </c>
      <c r="L14" s="298">
        <f>+SUM(J10:J12)/SUM(B9:B12)</f>
        <v>1.9008922101737731</v>
      </c>
      <c r="M14" s="297"/>
      <c r="N14" s="297"/>
      <c r="O14" s="297"/>
      <c r="P14" s="297" t="s">
        <v>1319</v>
      </c>
      <c r="Q14" s="298">
        <f>+SUM(O10:O12)/SUM(B9:B12)</f>
        <v>0.24144105832558838</v>
      </c>
      <c r="R14" s="297"/>
      <c r="S14" s="299">
        <f>+G14+L14+Q14</f>
        <v>2.4325722608912499</v>
      </c>
    </row>
    <row r="15" spans="1:19" ht="14.4" x14ac:dyDescent="0.3">
      <c r="A15" s="192" t="s">
        <v>1320</v>
      </c>
      <c r="B15" s="193" t="s">
        <v>1321</v>
      </c>
      <c r="C15" s="175"/>
      <c r="D15" s="175"/>
      <c r="E15" s="175"/>
      <c r="F15" s="162"/>
      <c r="G15" s="162"/>
      <c r="H15" s="162"/>
      <c r="I15" s="162"/>
      <c r="J15" s="162"/>
      <c r="K15" s="162"/>
      <c r="L15" s="162"/>
      <c r="M15" s="162"/>
      <c r="N15" s="162"/>
      <c r="O15" s="162"/>
      <c r="P15" s="162"/>
      <c r="Q15" s="162"/>
      <c r="R15" s="162"/>
    </row>
    <row r="16" spans="1:19" x14ac:dyDescent="0.25">
      <c r="A16" s="162"/>
      <c r="B16" s="162"/>
      <c r="C16" s="162"/>
      <c r="D16" s="162"/>
      <c r="E16" s="162"/>
      <c r="F16" s="162"/>
      <c r="G16" s="162"/>
      <c r="H16" s="228" t="s">
        <v>1322</v>
      </c>
      <c r="I16" s="162"/>
      <c r="J16" s="162"/>
      <c r="K16" s="162"/>
      <c r="L16" s="162"/>
      <c r="M16" s="162"/>
      <c r="N16" s="162"/>
      <c r="O16" s="162"/>
      <c r="P16" s="162"/>
      <c r="Q16" s="162"/>
      <c r="R16" s="162"/>
    </row>
    <row r="17" spans="1:16" ht="14.4" x14ac:dyDescent="0.3">
      <c r="A17" s="189" t="s">
        <v>1323</v>
      </c>
      <c r="B17" s="189"/>
      <c r="C17" s="189"/>
      <c r="D17" s="162"/>
      <c r="E17" s="162"/>
      <c r="F17" s="162"/>
      <c r="G17" s="162"/>
      <c r="H17" s="490" t="s">
        <v>915</v>
      </c>
      <c r="I17" s="490"/>
      <c r="J17" s="490"/>
      <c r="K17" s="251" t="s">
        <v>1324</v>
      </c>
      <c r="L17" s="490" t="s">
        <v>1325</v>
      </c>
      <c r="M17" s="490"/>
      <c r="N17" s="162"/>
      <c r="O17" s="162"/>
      <c r="P17" s="162"/>
    </row>
    <row r="18" spans="1:16" ht="14.4" x14ac:dyDescent="0.3">
      <c r="A18" s="189" t="s">
        <v>1326</v>
      </c>
      <c r="B18" s="189"/>
      <c r="C18" s="189"/>
      <c r="D18" s="162"/>
      <c r="E18" s="162"/>
      <c r="F18" s="162"/>
      <c r="G18" s="162"/>
      <c r="H18" s="490" t="s">
        <v>1327</v>
      </c>
      <c r="I18" s="496"/>
      <c r="J18" s="496"/>
      <c r="K18" s="229"/>
      <c r="L18" s="497">
        <f>K18*($G$13+$L$13+$Q$13)</f>
        <v>0</v>
      </c>
      <c r="M18" s="497"/>
      <c r="N18" s="162"/>
      <c r="O18" s="162"/>
      <c r="P18" s="285"/>
    </row>
    <row r="19" spans="1:16" x14ac:dyDescent="0.25">
      <c r="A19" s="162"/>
      <c r="B19" s="162"/>
      <c r="C19" s="162"/>
      <c r="D19" s="162"/>
      <c r="E19" s="162"/>
      <c r="F19" s="162"/>
      <c r="G19" s="162"/>
      <c r="H19" s="496"/>
      <c r="I19" s="496"/>
      <c r="J19" s="496"/>
      <c r="K19" s="194"/>
      <c r="L19" s="497"/>
      <c r="M19" s="497"/>
      <c r="N19" s="162"/>
      <c r="O19" s="162"/>
      <c r="P19" s="162"/>
    </row>
    <row r="20" spans="1:16" x14ac:dyDescent="0.25">
      <c r="A20" s="162"/>
      <c r="B20" s="162"/>
      <c r="C20" s="162"/>
      <c r="D20" s="162"/>
      <c r="E20" s="162"/>
      <c r="F20" s="162"/>
      <c r="G20" s="162"/>
      <c r="H20" s="496"/>
      <c r="I20" s="496"/>
      <c r="J20" s="496"/>
      <c r="K20" s="194"/>
      <c r="L20" s="495">
        <f>K20*($G$13+$L$13+$Q$13)</f>
        <v>0</v>
      </c>
      <c r="M20" s="495"/>
      <c r="N20" s="162"/>
      <c r="O20" s="162"/>
      <c r="P20" s="162"/>
    </row>
    <row r="21" spans="1:16" x14ac:dyDescent="0.25">
      <c r="A21" s="162"/>
      <c r="B21" s="162"/>
      <c r="C21" s="162"/>
      <c r="D21" s="162"/>
      <c r="E21" s="162"/>
      <c r="F21" s="162"/>
      <c r="G21" s="162"/>
      <c r="H21" s="496"/>
      <c r="I21" s="496"/>
      <c r="J21" s="496"/>
      <c r="K21" s="194"/>
      <c r="L21" s="495">
        <f>K21*($G$13+$L$13+$Q$13)</f>
        <v>0</v>
      </c>
      <c r="M21" s="495"/>
      <c r="N21" s="162"/>
      <c r="O21" s="162"/>
      <c r="P21" s="162"/>
    </row>
    <row r="22" spans="1:16" x14ac:dyDescent="0.25">
      <c r="A22" s="162"/>
      <c r="B22" s="162"/>
      <c r="C22" s="162"/>
      <c r="D22" s="162"/>
      <c r="E22" s="162"/>
      <c r="F22" s="162"/>
      <c r="G22" s="162"/>
      <c r="H22" s="496"/>
      <c r="I22" s="496"/>
      <c r="J22" s="496"/>
      <c r="K22" s="194"/>
      <c r="L22" s="495">
        <f>K22*($G$13+$L$13+$Q$13)</f>
        <v>0</v>
      </c>
      <c r="M22" s="495"/>
      <c r="N22" s="162"/>
      <c r="O22" s="162"/>
      <c r="P22" s="162"/>
    </row>
    <row r="23" spans="1:16" x14ac:dyDescent="0.25">
      <c r="A23" s="162"/>
      <c r="B23" s="162"/>
      <c r="C23" s="162"/>
      <c r="D23" s="162"/>
      <c r="E23" s="162"/>
      <c r="F23" s="162"/>
      <c r="G23" s="162"/>
      <c r="H23" s="492" t="s">
        <v>23</v>
      </c>
      <c r="I23" s="493"/>
      <c r="J23" s="493"/>
      <c r="K23" s="494"/>
      <c r="L23" s="491">
        <f>SUM(L18:M22)</f>
        <v>0</v>
      </c>
      <c r="M23" s="491"/>
      <c r="N23" s="162"/>
      <c r="O23" s="162"/>
      <c r="P23" s="162"/>
    </row>
    <row r="25" spans="1:16" x14ac:dyDescent="0.25">
      <c r="E25" s="270"/>
    </row>
    <row r="26" spans="1:16" x14ac:dyDescent="0.25">
      <c r="J26" s="429"/>
    </row>
    <row r="27" spans="1:16" x14ac:dyDescent="0.25">
      <c r="F27" s="40"/>
      <c r="I27" s="429"/>
    </row>
    <row r="28" spans="1:16" x14ac:dyDescent="0.25">
      <c r="I28" s="429"/>
    </row>
    <row r="29" spans="1:16" x14ac:dyDescent="0.25">
      <c r="L29" s="40"/>
      <c r="O29" s="71" t="s">
        <v>1328</v>
      </c>
    </row>
    <row r="30" spans="1:16" x14ac:dyDescent="0.25">
      <c r="P30" s="71" t="s">
        <v>1329</v>
      </c>
    </row>
  </sheetData>
  <mergeCells count="14">
    <mergeCell ref="H17:J17"/>
    <mergeCell ref="L23:M23"/>
    <mergeCell ref="H23:K23"/>
    <mergeCell ref="L22:M22"/>
    <mergeCell ref="H22:J22"/>
    <mergeCell ref="L17:M17"/>
    <mergeCell ref="H18:J18"/>
    <mergeCell ref="H19:J19"/>
    <mergeCell ref="H20:J20"/>
    <mergeCell ref="H21:J21"/>
    <mergeCell ref="L18:M18"/>
    <mergeCell ref="L19:M19"/>
    <mergeCell ref="L20:M20"/>
    <mergeCell ref="L21:M21"/>
  </mergeCells>
  <dataValidations count="1">
    <dataValidation allowBlank="1" showInputMessage="1" showErrorMessage="1" prompt="enter square footage" sqref="K18" xr:uid="{00000000-0002-0000-0B00-000000000000}"/>
  </dataValidations>
  <pageMargins left="0.17" right="0.17" top="0.75" bottom="0.75" header="0.3" footer="0.3"/>
  <pageSetup scale="7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4638C-6E3E-4B9B-AADF-1345C416546E}">
  <sheetPr codeName="Sheet20" filterMode="1"/>
  <dimension ref="A1:O242"/>
  <sheetViews>
    <sheetView zoomScale="115" zoomScaleNormal="115" zoomScaleSheetLayoutView="220" zoomScalePageLayoutView="130" workbookViewId="0">
      <pane xSplit="11" ySplit="13" topLeftCell="L14" activePane="bottomRight" state="frozen"/>
      <selection activeCell="A59" sqref="A59:C59"/>
      <selection pane="topRight" activeCell="A59" sqref="A59:C59"/>
      <selection pane="bottomLeft" activeCell="A59" sqref="A59:C59"/>
      <selection pane="bottomRight" activeCell="E188" sqref="E188"/>
    </sheetView>
  </sheetViews>
  <sheetFormatPr defaultColWidth="8.88671875" defaultRowHeight="10.199999999999999" x14ac:dyDescent="0.2"/>
  <cols>
    <col min="1" max="1" width="31.109375" style="430" customWidth="1"/>
    <col min="2" max="2" width="6.33203125" style="430" customWidth="1"/>
    <col min="3" max="3" width="37.6640625" style="430" customWidth="1"/>
    <col min="4" max="4" width="7.109375" style="430" customWidth="1"/>
    <col min="5" max="5" width="6.33203125" style="430" customWidth="1"/>
    <col min="6" max="6" width="7.5546875" style="430" customWidth="1"/>
    <col min="7" max="7" width="9" style="430" bestFit="1" customWidth="1"/>
    <col min="8" max="8" width="10.33203125" style="430" bestFit="1" customWidth="1"/>
    <col min="9" max="9" width="7.109375" style="430" bestFit="1" customWidth="1"/>
    <col min="10" max="10" width="29.88671875" style="430" customWidth="1"/>
    <col min="11" max="11" width="19.44140625" style="430" bestFit="1" customWidth="1"/>
    <col min="12" max="16384" width="8.88671875" style="430"/>
  </cols>
  <sheetData>
    <row r="1" spans="1:15" ht="16.2" customHeight="1" x14ac:dyDescent="0.3">
      <c r="A1" s="500"/>
      <c r="B1" s="500"/>
      <c r="C1" s="500"/>
      <c r="D1" s="500"/>
      <c r="E1" s="437" t="s">
        <v>1040</v>
      </c>
      <c r="F1" s="498" t="s">
        <v>1476</v>
      </c>
      <c r="G1" s="498"/>
      <c r="H1" s="498"/>
      <c r="I1" s="498"/>
      <c r="J1" s="498"/>
      <c r="K1" s="498"/>
      <c r="L1" s="498"/>
      <c r="N1" s="72" t="s">
        <v>909</v>
      </c>
      <c r="O1" s="72" t="s">
        <v>910</v>
      </c>
    </row>
    <row r="2" spans="1:15" ht="16.2" customHeight="1" x14ac:dyDescent="0.3">
      <c r="A2" s="434"/>
      <c r="B2" s="434"/>
      <c r="C2" s="434"/>
      <c r="D2" s="434"/>
      <c r="E2" s="437"/>
      <c r="F2" s="436"/>
      <c r="G2" s="436"/>
      <c r="H2" s="436"/>
      <c r="I2" s="436"/>
      <c r="J2" s="436"/>
      <c r="K2" s="436"/>
      <c r="L2" s="436"/>
      <c r="N2" s="72" t="s">
        <v>911</v>
      </c>
      <c r="O2" s="72" t="s">
        <v>912</v>
      </c>
    </row>
    <row r="3" spans="1:15" ht="16.2" customHeight="1" x14ac:dyDescent="0.3">
      <c r="A3" s="434"/>
      <c r="B3" s="434"/>
      <c r="C3" s="434"/>
      <c r="D3" s="434"/>
      <c r="E3" s="437"/>
      <c r="F3" s="438"/>
      <c r="G3" s="435" t="s">
        <v>909</v>
      </c>
      <c r="H3" s="435" t="s">
        <v>919</v>
      </c>
      <c r="I3" s="436"/>
      <c r="J3" s="436"/>
      <c r="K3" s="436"/>
      <c r="L3" s="436"/>
      <c r="N3" s="72"/>
      <c r="O3" s="72"/>
    </row>
    <row r="4" spans="1:15" ht="16.2" customHeight="1" x14ac:dyDescent="0.3">
      <c r="A4" s="434"/>
      <c r="B4" s="434"/>
      <c r="C4" s="434"/>
      <c r="D4" s="434"/>
      <c r="E4" s="437"/>
      <c r="F4" s="438" t="s">
        <v>1311</v>
      </c>
      <c r="G4" s="438">
        <f>SUM(G14:G115)</f>
        <v>585153</v>
      </c>
      <c r="H4" s="438">
        <f>SUM(H14:H115)</f>
        <v>1333188</v>
      </c>
      <c r="I4" s="436"/>
      <c r="J4" s="436"/>
      <c r="K4" s="436"/>
      <c r="L4" s="436"/>
    </row>
    <row r="5" spans="1:15" ht="16.2" customHeight="1" x14ac:dyDescent="0.3">
      <c r="A5" s="434"/>
      <c r="B5" s="434"/>
      <c r="C5" s="434"/>
      <c r="D5" s="434"/>
      <c r="E5" s="437"/>
      <c r="F5" s="438" t="s">
        <v>1316</v>
      </c>
      <c r="G5" s="438">
        <f>SUM(G116:G177)</f>
        <v>155895</v>
      </c>
      <c r="H5" s="438">
        <f>SUM(H116:H177)</f>
        <v>255818</v>
      </c>
      <c r="I5" s="436"/>
      <c r="J5" s="436"/>
      <c r="K5" s="436"/>
      <c r="L5" s="436"/>
    </row>
    <row r="6" spans="1:15" ht="16.2" customHeight="1" x14ac:dyDescent="0.3">
      <c r="A6" s="434"/>
      <c r="B6" s="434"/>
      <c r="C6" s="434"/>
      <c r="D6" s="434"/>
      <c r="E6" s="437"/>
      <c r="F6" s="438" t="s">
        <v>1313</v>
      </c>
      <c r="G6" s="438">
        <f>SUM(G178:G226)</f>
        <v>174858</v>
      </c>
      <c r="H6" s="438">
        <f>SUM(H178:H226)</f>
        <v>260528</v>
      </c>
      <c r="I6" s="436"/>
      <c r="J6" s="436"/>
      <c r="K6" s="436"/>
      <c r="L6" s="436"/>
    </row>
    <row r="7" spans="1:15" ht="16.2" customHeight="1" x14ac:dyDescent="0.3">
      <c r="A7" s="434"/>
      <c r="B7" s="434"/>
      <c r="C7" s="434"/>
      <c r="D7" s="434"/>
      <c r="E7" s="437"/>
      <c r="F7" s="438" t="s">
        <v>1477</v>
      </c>
      <c r="G7" s="438">
        <f>SUM(G227:G232)</f>
        <v>46310</v>
      </c>
      <c r="H7" s="438">
        <f>SUM(H227:H232)</f>
        <v>154887</v>
      </c>
      <c r="I7" s="436"/>
      <c r="J7" s="436"/>
      <c r="K7" s="436"/>
      <c r="L7" s="436"/>
    </row>
    <row r="8" spans="1:15" ht="16.2" customHeight="1" x14ac:dyDescent="0.3">
      <c r="A8" s="434"/>
      <c r="B8" s="434"/>
      <c r="C8" s="434"/>
      <c r="D8" s="434"/>
      <c r="E8" s="437"/>
      <c r="F8" s="438" t="s">
        <v>1478</v>
      </c>
      <c r="G8" s="438">
        <f>SUM(G233:G242)</f>
        <v>29134</v>
      </c>
      <c r="H8" s="438">
        <f>SUM(H233:H242)</f>
        <v>36690</v>
      </c>
      <c r="I8" s="436"/>
      <c r="J8" s="436"/>
      <c r="K8" s="436"/>
      <c r="L8" s="436"/>
      <c r="N8" s="72"/>
      <c r="O8" s="72"/>
    </row>
    <row r="9" spans="1:15" ht="16.2" customHeight="1" x14ac:dyDescent="0.3">
      <c r="A9" s="434"/>
      <c r="B9" s="434"/>
      <c r="C9" s="434"/>
      <c r="D9" s="434"/>
      <c r="E9" s="437"/>
      <c r="F9" s="438" t="s">
        <v>23</v>
      </c>
      <c r="G9" s="438">
        <f>SUM(G4:G8)</f>
        <v>991350</v>
      </c>
      <c r="H9" s="438">
        <f>SUM(H4:H8)</f>
        <v>2041111</v>
      </c>
      <c r="I9" s="436"/>
      <c r="J9" s="436"/>
      <c r="K9" s="436"/>
      <c r="L9" s="436"/>
      <c r="N9" s="72"/>
      <c r="O9" s="72"/>
    </row>
    <row r="10" spans="1:15" ht="16.2" customHeight="1" x14ac:dyDescent="0.3">
      <c r="A10" s="434"/>
      <c r="B10" s="434"/>
      <c r="C10" s="434"/>
      <c r="D10" s="434"/>
      <c r="E10" s="437"/>
      <c r="F10" s="436"/>
      <c r="G10" s="436"/>
      <c r="H10" s="436"/>
      <c r="I10" s="436"/>
      <c r="J10" s="436"/>
      <c r="K10" s="436"/>
      <c r="L10" s="436"/>
      <c r="N10" s="72"/>
      <c r="O10" s="72"/>
    </row>
    <row r="11" spans="1:15" ht="16.2" customHeight="1" x14ac:dyDescent="0.3">
      <c r="A11" s="499" t="s">
        <v>913</v>
      </c>
      <c r="B11" s="499"/>
      <c r="C11" s="499"/>
      <c r="D11" s="499"/>
      <c r="E11" s="499"/>
      <c r="F11" s="499"/>
      <c r="G11" s="499"/>
      <c r="H11" s="499"/>
      <c r="I11" s="499"/>
      <c r="J11" s="499"/>
      <c r="K11" s="499"/>
      <c r="L11" s="499"/>
      <c r="N11" s="72"/>
      <c r="O11" s="72"/>
    </row>
    <row r="12" spans="1:15" ht="10.199999999999999" customHeight="1" x14ac:dyDescent="0.2">
      <c r="G12" s="430">
        <f>SUBTOTAL(9,G14:G242)</f>
        <v>174858</v>
      </c>
      <c r="H12" s="430">
        <f>SUBTOTAL(9,H14:H242)</f>
        <v>260528</v>
      </c>
    </row>
    <row r="13" spans="1:15" ht="10.199999999999999" customHeight="1" x14ac:dyDescent="0.2">
      <c r="A13" s="435" t="s">
        <v>914</v>
      </c>
      <c r="B13" s="435" t="s">
        <v>1475</v>
      </c>
      <c r="C13" s="435" t="s">
        <v>915</v>
      </c>
      <c r="D13" s="435" t="s">
        <v>916</v>
      </c>
      <c r="E13" s="435" t="s">
        <v>917</v>
      </c>
      <c r="F13" s="435" t="s">
        <v>918</v>
      </c>
      <c r="G13" s="435" t="s">
        <v>909</v>
      </c>
      <c r="H13" s="435" t="s">
        <v>919</v>
      </c>
      <c r="I13" s="435" t="s">
        <v>920</v>
      </c>
      <c r="J13" s="435" t="s">
        <v>921</v>
      </c>
      <c r="K13" s="435" t="s">
        <v>1474</v>
      </c>
      <c r="L13" s="435" t="s">
        <v>922</v>
      </c>
    </row>
    <row r="14" spans="1:15" ht="10.199999999999999" hidden="1" customHeight="1" x14ac:dyDescent="0.2">
      <c r="A14" s="434" t="s">
        <v>923</v>
      </c>
      <c r="B14" s="433" t="s">
        <v>924</v>
      </c>
      <c r="C14" s="430" t="s">
        <v>925</v>
      </c>
      <c r="D14" s="433" t="s">
        <v>926</v>
      </c>
      <c r="E14" s="431">
        <v>143</v>
      </c>
      <c r="F14" s="431">
        <v>1896</v>
      </c>
      <c r="G14" s="431">
        <v>44561</v>
      </c>
      <c r="H14" s="431">
        <v>81246</v>
      </c>
      <c r="I14" s="432">
        <v>0.54847007852694296</v>
      </c>
      <c r="J14" s="430" t="s">
        <v>927</v>
      </c>
      <c r="K14" s="430" t="s">
        <v>928</v>
      </c>
      <c r="L14" s="431" t="s">
        <v>929</v>
      </c>
    </row>
    <row r="15" spans="1:15" ht="10.199999999999999" hidden="1" customHeight="1" x14ac:dyDescent="0.2">
      <c r="A15" s="434" t="s">
        <v>923</v>
      </c>
      <c r="B15" s="433" t="s">
        <v>930</v>
      </c>
      <c r="C15" s="430" t="s">
        <v>931</v>
      </c>
      <c r="D15" s="433" t="s">
        <v>932</v>
      </c>
      <c r="E15" s="431">
        <v>24</v>
      </c>
      <c r="F15" s="431">
        <v>4</v>
      </c>
      <c r="G15" s="431">
        <v>6886</v>
      </c>
      <c r="H15" s="431">
        <v>8910</v>
      </c>
      <c r="I15" s="432">
        <v>0.77283950617284003</v>
      </c>
      <c r="J15" s="430" t="s">
        <v>927</v>
      </c>
      <c r="K15" s="430" t="s">
        <v>933</v>
      </c>
      <c r="L15" s="431" t="s">
        <v>929</v>
      </c>
    </row>
    <row r="16" spans="1:15" ht="10.199999999999999" hidden="1" customHeight="1" x14ac:dyDescent="0.2">
      <c r="A16" s="434" t="s">
        <v>923</v>
      </c>
      <c r="B16" s="433" t="s">
        <v>934</v>
      </c>
      <c r="C16" s="430" t="s">
        <v>935</v>
      </c>
      <c r="D16" s="433" t="s">
        <v>932</v>
      </c>
      <c r="E16" s="431">
        <v>33</v>
      </c>
      <c r="F16" s="431">
        <v>2113</v>
      </c>
      <c r="G16" s="431">
        <v>26374</v>
      </c>
      <c r="H16" s="431">
        <v>33105</v>
      </c>
      <c r="I16" s="432">
        <v>0.79667723908775101</v>
      </c>
      <c r="J16" s="430" t="s">
        <v>927</v>
      </c>
      <c r="K16" s="430" t="s">
        <v>936</v>
      </c>
      <c r="L16" s="431" t="s">
        <v>929</v>
      </c>
    </row>
    <row r="17" spans="1:12" ht="10.199999999999999" hidden="1" customHeight="1" x14ac:dyDescent="0.2">
      <c r="A17" s="434" t="s">
        <v>923</v>
      </c>
      <c r="B17" s="433" t="s">
        <v>937</v>
      </c>
      <c r="C17" s="430" t="s">
        <v>938</v>
      </c>
      <c r="D17" s="433" t="s">
        <v>939</v>
      </c>
      <c r="E17" s="431">
        <v>19</v>
      </c>
      <c r="F17" s="431">
        <v>19</v>
      </c>
      <c r="G17" s="431">
        <v>6139</v>
      </c>
      <c r="H17" s="431">
        <v>7500</v>
      </c>
      <c r="I17" s="432">
        <v>0.818533333333333</v>
      </c>
      <c r="J17" s="430" t="s">
        <v>927</v>
      </c>
      <c r="K17" s="430" t="s">
        <v>936</v>
      </c>
      <c r="L17" s="431" t="s">
        <v>929</v>
      </c>
    </row>
    <row r="18" spans="1:12" ht="10.199999999999999" hidden="1" customHeight="1" x14ac:dyDescent="0.2">
      <c r="A18" s="434" t="s">
        <v>923</v>
      </c>
      <c r="B18" s="433" t="s">
        <v>940</v>
      </c>
      <c r="C18" s="430" t="s">
        <v>941</v>
      </c>
      <c r="D18" s="433" t="s">
        <v>939</v>
      </c>
      <c r="E18" s="431">
        <v>4</v>
      </c>
      <c r="F18" s="431">
        <v>0</v>
      </c>
      <c r="G18" s="431">
        <v>1084</v>
      </c>
      <c r="H18" s="431">
        <v>1770</v>
      </c>
      <c r="I18" s="432">
        <v>0.61242937853107404</v>
      </c>
      <c r="J18" s="430" t="s">
        <v>927</v>
      </c>
      <c r="K18" s="430" t="s">
        <v>936</v>
      </c>
      <c r="L18" s="431" t="s">
        <v>929</v>
      </c>
    </row>
    <row r="19" spans="1:12" ht="10.199999999999999" hidden="1" customHeight="1" x14ac:dyDescent="0.2">
      <c r="A19" s="434" t="s">
        <v>923</v>
      </c>
      <c r="B19" s="433" t="s">
        <v>942</v>
      </c>
      <c r="C19" s="430" t="s">
        <v>943</v>
      </c>
      <c r="D19" s="433" t="s">
        <v>944</v>
      </c>
      <c r="E19" s="431">
        <v>33</v>
      </c>
      <c r="F19" s="431">
        <v>362</v>
      </c>
      <c r="G19" s="431">
        <v>14232</v>
      </c>
      <c r="H19" s="431">
        <v>16830</v>
      </c>
      <c r="I19" s="432">
        <v>0.845632798573975</v>
      </c>
      <c r="J19" s="430" t="s">
        <v>927</v>
      </c>
      <c r="K19" s="430" t="s">
        <v>928</v>
      </c>
      <c r="L19" s="431" t="s">
        <v>929</v>
      </c>
    </row>
    <row r="20" spans="1:12" ht="10.199999999999999" hidden="1" customHeight="1" x14ac:dyDescent="0.2">
      <c r="A20" s="434" t="s">
        <v>923</v>
      </c>
      <c r="B20" s="433" t="s">
        <v>945</v>
      </c>
      <c r="C20" s="430" t="s">
        <v>946</v>
      </c>
      <c r="D20" s="433" t="s">
        <v>947</v>
      </c>
      <c r="E20" s="431">
        <v>34</v>
      </c>
      <c r="F20" s="431">
        <v>118</v>
      </c>
      <c r="G20" s="431">
        <v>15807</v>
      </c>
      <c r="H20" s="431">
        <v>18037</v>
      </c>
      <c r="I20" s="432">
        <v>0.87636524920995695</v>
      </c>
      <c r="J20" s="430" t="s">
        <v>927</v>
      </c>
      <c r="K20" s="430" t="s">
        <v>928</v>
      </c>
      <c r="L20" s="431" t="s">
        <v>929</v>
      </c>
    </row>
    <row r="21" spans="1:12" ht="10.199999999999999" hidden="1" customHeight="1" x14ac:dyDescent="0.2">
      <c r="A21" s="434" t="s">
        <v>923</v>
      </c>
      <c r="B21" s="433" t="s">
        <v>1136</v>
      </c>
      <c r="C21" s="430" t="s">
        <v>1242</v>
      </c>
      <c r="D21" s="433" t="s">
        <v>1243</v>
      </c>
      <c r="E21" s="431">
        <v>4</v>
      </c>
      <c r="F21" s="431">
        <v>0</v>
      </c>
      <c r="G21" s="431">
        <v>705</v>
      </c>
      <c r="H21" s="431">
        <v>864</v>
      </c>
      <c r="I21" s="432">
        <v>0.81597222222222199</v>
      </c>
      <c r="J21" s="430" t="s">
        <v>927</v>
      </c>
      <c r="K21" s="430" t="s">
        <v>936</v>
      </c>
      <c r="L21" s="431" t="s">
        <v>1244</v>
      </c>
    </row>
    <row r="22" spans="1:12" ht="10.199999999999999" hidden="1" customHeight="1" x14ac:dyDescent="0.2">
      <c r="A22" s="434" t="s">
        <v>923</v>
      </c>
      <c r="B22" s="433" t="s">
        <v>948</v>
      </c>
      <c r="C22" s="430" t="s">
        <v>949</v>
      </c>
      <c r="D22" s="433" t="s">
        <v>950</v>
      </c>
      <c r="E22" s="431">
        <v>0</v>
      </c>
      <c r="F22" s="431">
        <v>0</v>
      </c>
      <c r="G22" s="431">
        <v>0</v>
      </c>
      <c r="H22" s="431">
        <v>7554</v>
      </c>
      <c r="I22" s="432">
        <v>0</v>
      </c>
      <c r="J22" s="430" t="s">
        <v>927</v>
      </c>
      <c r="K22" s="430" t="s">
        <v>928</v>
      </c>
      <c r="L22" s="431" t="s">
        <v>929</v>
      </c>
    </row>
    <row r="23" spans="1:12" ht="10.199999999999999" hidden="1" customHeight="1" x14ac:dyDescent="0.2">
      <c r="A23" s="434" t="s">
        <v>923</v>
      </c>
      <c r="B23" s="433" t="s">
        <v>1139</v>
      </c>
      <c r="C23" s="430" t="s">
        <v>1245</v>
      </c>
      <c r="D23" s="433" t="s">
        <v>950</v>
      </c>
      <c r="E23" s="431">
        <v>13</v>
      </c>
      <c r="F23" s="431">
        <v>13</v>
      </c>
      <c r="G23" s="431">
        <v>4365</v>
      </c>
      <c r="H23" s="431">
        <v>7100</v>
      </c>
      <c r="I23" s="432">
        <v>0.61478873239436604</v>
      </c>
      <c r="J23" s="430" t="s">
        <v>927</v>
      </c>
      <c r="K23" s="430" t="s">
        <v>928</v>
      </c>
      <c r="L23" s="431" t="s">
        <v>929</v>
      </c>
    </row>
    <row r="24" spans="1:12" ht="10.199999999999999" hidden="1" customHeight="1" x14ac:dyDescent="0.2">
      <c r="A24" s="434" t="s">
        <v>923</v>
      </c>
      <c r="B24" s="433" t="s">
        <v>951</v>
      </c>
      <c r="C24" s="430" t="s">
        <v>952</v>
      </c>
      <c r="D24" s="433" t="s">
        <v>953</v>
      </c>
      <c r="E24" s="431">
        <v>19</v>
      </c>
      <c r="F24" s="431">
        <v>1267</v>
      </c>
      <c r="G24" s="431">
        <v>20276</v>
      </c>
      <c r="H24" s="431">
        <v>30003</v>
      </c>
      <c r="I24" s="432">
        <v>0.67579908675799105</v>
      </c>
      <c r="J24" s="430" t="s">
        <v>927</v>
      </c>
      <c r="K24" s="430" t="s">
        <v>928</v>
      </c>
      <c r="L24" s="431" t="s">
        <v>929</v>
      </c>
    </row>
    <row r="25" spans="1:12" ht="10.199999999999999" hidden="1" customHeight="1" x14ac:dyDescent="0.2">
      <c r="A25" s="434" t="s">
        <v>923</v>
      </c>
      <c r="B25" s="433" t="s">
        <v>954</v>
      </c>
      <c r="C25" s="430" t="s">
        <v>955</v>
      </c>
      <c r="D25" s="433" t="s">
        <v>953</v>
      </c>
      <c r="E25" s="431">
        <v>19</v>
      </c>
      <c r="F25" s="431">
        <v>159</v>
      </c>
      <c r="G25" s="431">
        <v>5683</v>
      </c>
      <c r="H25" s="431">
        <v>9553</v>
      </c>
      <c r="I25" s="432">
        <v>0.59489165707107705</v>
      </c>
      <c r="J25" s="430" t="s">
        <v>927</v>
      </c>
      <c r="K25" s="430" t="s">
        <v>928</v>
      </c>
      <c r="L25" s="431" t="s">
        <v>929</v>
      </c>
    </row>
    <row r="26" spans="1:12" ht="10.199999999999999" hidden="1" customHeight="1" x14ac:dyDescent="0.2">
      <c r="A26" s="434" t="s">
        <v>923</v>
      </c>
      <c r="B26" s="433" t="s">
        <v>956</v>
      </c>
      <c r="C26" s="430" t="s">
        <v>957</v>
      </c>
      <c r="D26" s="433" t="s">
        <v>958</v>
      </c>
      <c r="E26" s="431">
        <v>13</v>
      </c>
      <c r="F26" s="431">
        <v>89</v>
      </c>
      <c r="G26" s="431">
        <v>6128</v>
      </c>
      <c r="H26" s="431">
        <v>7953</v>
      </c>
      <c r="I26" s="432">
        <v>0.77052684521564196</v>
      </c>
      <c r="J26" s="430" t="s">
        <v>927</v>
      </c>
      <c r="K26" s="430" t="s">
        <v>928</v>
      </c>
      <c r="L26" s="431" t="s">
        <v>929</v>
      </c>
    </row>
    <row r="27" spans="1:12" ht="10.199999999999999" hidden="1" customHeight="1" x14ac:dyDescent="0.2">
      <c r="A27" s="434" t="s">
        <v>923</v>
      </c>
      <c r="B27" s="433" t="s">
        <v>959</v>
      </c>
      <c r="C27" s="430" t="s">
        <v>960</v>
      </c>
      <c r="D27" s="433" t="s">
        <v>958</v>
      </c>
      <c r="E27" s="431">
        <v>31</v>
      </c>
      <c r="F27" s="431">
        <v>182</v>
      </c>
      <c r="G27" s="431">
        <v>18827</v>
      </c>
      <c r="H27" s="431">
        <v>22203</v>
      </c>
      <c r="I27" s="432">
        <v>0.84794847543124796</v>
      </c>
      <c r="J27" s="430" t="s">
        <v>927</v>
      </c>
      <c r="K27" s="430" t="s">
        <v>928</v>
      </c>
      <c r="L27" s="431" t="s">
        <v>929</v>
      </c>
    </row>
    <row r="28" spans="1:12" ht="10.199999999999999" hidden="1" customHeight="1" x14ac:dyDescent="0.2">
      <c r="A28" s="434" t="s">
        <v>923</v>
      </c>
      <c r="B28" s="433" t="s">
        <v>961</v>
      </c>
      <c r="C28" s="430" t="s">
        <v>962</v>
      </c>
      <c r="D28" s="433" t="s">
        <v>958</v>
      </c>
      <c r="E28" s="431">
        <v>6</v>
      </c>
      <c r="F28" s="431">
        <v>0</v>
      </c>
      <c r="G28" s="431">
        <v>3132</v>
      </c>
      <c r="H28" s="431">
        <v>6800</v>
      </c>
      <c r="I28" s="432">
        <v>0.46058823529411802</v>
      </c>
      <c r="J28" s="430" t="s">
        <v>927</v>
      </c>
      <c r="K28" s="430" t="s">
        <v>963</v>
      </c>
      <c r="L28" s="431" t="s">
        <v>929</v>
      </c>
    </row>
    <row r="29" spans="1:12" ht="10.199999999999999" hidden="1" customHeight="1" x14ac:dyDescent="0.2">
      <c r="A29" s="434" t="s">
        <v>923</v>
      </c>
      <c r="B29" s="433" t="s">
        <v>964</v>
      </c>
      <c r="C29" s="430" t="s">
        <v>965</v>
      </c>
      <c r="D29" s="433" t="s">
        <v>966</v>
      </c>
      <c r="E29" s="431">
        <v>24</v>
      </c>
      <c r="F29" s="431">
        <v>300</v>
      </c>
      <c r="G29" s="431">
        <v>9629</v>
      </c>
      <c r="H29" s="431">
        <v>12897</v>
      </c>
      <c r="I29" s="432">
        <v>0.74660773823369797</v>
      </c>
      <c r="J29" s="430" t="s">
        <v>927</v>
      </c>
      <c r="K29" s="430" t="s">
        <v>928</v>
      </c>
      <c r="L29" s="431" t="s">
        <v>929</v>
      </c>
    </row>
    <row r="30" spans="1:12" ht="10.199999999999999" hidden="1" customHeight="1" x14ac:dyDescent="0.2">
      <c r="A30" s="434" t="s">
        <v>923</v>
      </c>
      <c r="B30" s="433" t="s">
        <v>967</v>
      </c>
      <c r="C30" s="430" t="s">
        <v>968</v>
      </c>
      <c r="D30" s="433" t="s">
        <v>966</v>
      </c>
      <c r="E30" s="431">
        <v>16</v>
      </c>
      <c r="F30" s="431">
        <v>0</v>
      </c>
      <c r="G30" s="431">
        <v>0</v>
      </c>
      <c r="H30" s="431">
        <v>6597</v>
      </c>
      <c r="I30" s="432">
        <v>0</v>
      </c>
      <c r="J30" s="430" t="s">
        <v>927</v>
      </c>
      <c r="K30" s="430" t="s">
        <v>933</v>
      </c>
      <c r="L30" s="431" t="s">
        <v>929</v>
      </c>
    </row>
    <row r="31" spans="1:12" ht="10.199999999999999" hidden="1" customHeight="1" x14ac:dyDescent="0.2">
      <c r="A31" s="434" t="s">
        <v>923</v>
      </c>
      <c r="B31" s="433" t="s">
        <v>969</v>
      </c>
      <c r="C31" s="430" t="s">
        <v>970</v>
      </c>
      <c r="D31" s="433" t="s">
        <v>971</v>
      </c>
      <c r="E31" s="431">
        <v>37</v>
      </c>
      <c r="F31" s="431">
        <v>448</v>
      </c>
      <c r="G31" s="431">
        <v>16844</v>
      </c>
      <c r="H31" s="431">
        <v>31042</v>
      </c>
      <c r="I31" s="432">
        <v>0.54261967656723198</v>
      </c>
      <c r="J31" s="430" t="s">
        <v>927</v>
      </c>
      <c r="K31" s="430" t="s">
        <v>928</v>
      </c>
      <c r="L31" s="431" t="s">
        <v>929</v>
      </c>
    </row>
    <row r="32" spans="1:12" ht="10.199999999999999" hidden="1" customHeight="1" x14ac:dyDescent="0.2">
      <c r="A32" s="434" t="s">
        <v>923</v>
      </c>
      <c r="B32" s="433" t="s">
        <v>972</v>
      </c>
      <c r="C32" s="430" t="s">
        <v>973</v>
      </c>
      <c r="D32" s="433" t="s">
        <v>974</v>
      </c>
      <c r="E32" s="431">
        <v>37</v>
      </c>
      <c r="F32" s="431">
        <v>646</v>
      </c>
      <c r="G32" s="431">
        <v>27514</v>
      </c>
      <c r="H32" s="431">
        <v>41507</v>
      </c>
      <c r="I32" s="432">
        <v>0.66287614137374395</v>
      </c>
      <c r="J32" s="430" t="s">
        <v>927</v>
      </c>
      <c r="K32" s="430" t="s">
        <v>928</v>
      </c>
      <c r="L32" s="431" t="s">
        <v>929</v>
      </c>
    </row>
    <row r="33" spans="1:12" ht="10.199999999999999" hidden="1" customHeight="1" x14ac:dyDescent="0.2">
      <c r="A33" s="434" t="s">
        <v>923</v>
      </c>
      <c r="B33" s="433" t="s">
        <v>975</v>
      </c>
      <c r="C33" s="430" t="s">
        <v>976</v>
      </c>
      <c r="D33" s="433" t="s">
        <v>974</v>
      </c>
      <c r="E33" s="431">
        <v>27</v>
      </c>
      <c r="F33" s="431">
        <v>355</v>
      </c>
      <c r="G33" s="431">
        <v>17253</v>
      </c>
      <c r="H33" s="431">
        <v>26335</v>
      </c>
      <c r="I33" s="432">
        <v>0.65513575090184195</v>
      </c>
      <c r="J33" s="430" t="s">
        <v>927</v>
      </c>
      <c r="K33" s="430" t="s">
        <v>928</v>
      </c>
      <c r="L33" s="431" t="s">
        <v>929</v>
      </c>
    </row>
    <row r="34" spans="1:12" ht="10.199999999999999" hidden="1" customHeight="1" x14ac:dyDescent="0.2">
      <c r="A34" s="434" t="s">
        <v>923</v>
      </c>
      <c r="B34" s="433" t="s">
        <v>977</v>
      </c>
      <c r="C34" s="430" t="s">
        <v>978</v>
      </c>
      <c r="D34" s="433" t="s">
        <v>974</v>
      </c>
      <c r="E34" s="431">
        <v>6</v>
      </c>
      <c r="F34" s="431">
        <v>42</v>
      </c>
      <c r="G34" s="431">
        <v>1291</v>
      </c>
      <c r="H34" s="431">
        <v>1763</v>
      </c>
      <c r="I34" s="432">
        <v>0.73227453204764603</v>
      </c>
      <c r="J34" s="430" t="s">
        <v>927</v>
      </c>
      <c r="K34" s="430" t="s">
        <v>928</v>
      </c>
      <c r="L34" s="431" t="s">
        <v>929</v>
      </c>
    </row>
    <row r="35" spans="1:12" ht="10.199999999999999" hidden="1" customHeight="1" x14ac:dyDescent="0.2">
      <c r="A35" s="434" t="s">
        <v>923</v>
      </c>
      <c r="B35" s="433" t="s">
        <v>979</v>
      </c>
      <c r="C35" s="430" t="s">
        <v>980</v>
      </c>
      <c r="D35" s="433" t="s">
        <v>974</v>
      </c>
      <c r="E35" s="431">
        <v>57</v>
      </c>
      <c r="F35" s="431">
        <v>522</v>
      </c>
      <c r="G35" s="431">
        <v>26244</v>
      </c>
      <c r="H35" s="431">
        <v>38803</v>
      </c>
      <c r="I35" s="432">
        <v>0.67633945828930797</v>
      </c>
      <c r="J35" s="430" t="s">
        <v>927</v>
      </c>
      <c r="K35" s="430" t="s">
        <v>928</v>
      </c>
      <c r="L35" s="431" t="s">
        <v>929</v>
      </c>
    </row>
    <row r="36" spans="1:12" ht="10.199999999999999" hidden="1" customHeight="1" x14ac:dyDescent="0.2">
      <c r="A36" s="434" t="s">
        <v>923</v>
      </c>
      <c r="B36" s="433" t="s">
        <v>1153</v>
      </c>
      <c r="C36" s="430" t="s">
        <v>1246</v>
      </c>
      <c r="D36" s="433" t="s">
        <v>1247</v>
      </c>
      <c r="E36" s="431">
        <v>3</v>
      </c>
      <c r="F36" s="431">
        <v>1</v>
      </c>
      <c r="G36" s="431">
        <v>3408</v>
      </c>
      <c r="H36" s="431">
        <v>3645</v>
      </c>
      <c r="I36" s="432">
        <v>0.93497942386831301</v>
      </c>
      <c r="J36" s="430" t="s">
        <v>927</v>
      </c>
      <c r="K36" s="430" t="s">
        <v>963</v>
      </c>
      <c r="L36" s="431" t="s">
        <v>1244</v>
      </c>
    </row>
    <row r="37" spans="1:12" ht="10.199999999999999" hidden="1" customHeight="1" x14ac:dyDescent="0.2">
      <c r="A37" s="434" t="s">
        <v>923</v>
      </c>
      <c r="B37" s="433" t="s">
        <v>981</v>
      </c>
      <c r="C37" s="430" t="s">
        <v>982</v>
      </c>
      <c r="D37" s="433" t="s">
        <v>983</v>
      </c>
      <c r="E37" s="431">
        <v>10</v>
      </c>
      <c r="F37" s="431">
        <v>66</v>
      </c>
      <c r="G37" s="431">
        <v>5415</v>
      </c>
      <c r="H37" s="431">
        <v>8717</v>
      </c>
      <c r="I37" s="432">
        <v>0.62119995411265305</v>
      </c>
      <c r="J37" s="430" t="s">
        <v>927</v>
      </c>
      <c r="K37" s="430" t="s">
        <v>936</v>
      </c>
      <c r="L37" s="431" t="s">
        <v>929</v>
      </c>
    </row>
    <row r="38" spans="1:12" ht="10.199999999999999" hidden="1" customHeight="1" x14ac:dyDescent="0.2">
      <c r="A38" s="434" t="s">
        <v>923</v>
      </c>
      <c r="B38" s="433" t="s">
        <v>984</v>
      </c>
      <c r="C38" s="430" t="s">
        <v>985</v>
      </c>
      <c r="D38" s="433" t="s">
        <v>986</v>
      </c>
      <c r="E38" s="431">
        <v>14</v>
      </c>
      <c r="F38" s="431">
        <v>218</v>
      </c>
      <c r="G38" s="431">
        <v>15990</v>
      </c>
      <c r="H38" s="431">
        <v>20812</v>
      </c>
      <c r="I38" s="432">
        <v>0.76830674610801497</v>
      </c>
      <c r="J38" s="430" t="s">
        <v>927</v>
      </c>
      <c r="K38" s="430" t="s">
        <v>928</v>
      </c>
      <c r="L38" s="431" t="s">
        <v>929</v>
      </c>
    </row>
    <row r="39" spans="1:12" ht="10.199999999999999" hidden="1" customHeight="1" x14ac:dyDescent="0.2">
      <c r="A39" s="434" t="s">
        <v>923</v>
      </c>
      <c r="B39" s="433" t="s">
        <v>987</v>
      </c>
      <c r="C39" s="430" t="s">
        <v>988</v>
      </c>
      <c r="D39" s="433" t="s">
        <v>986</v>
      </c>
      <c r="E39" s="431">
        <v>21</v>
      </c>
      <c r="F39" s="431">
        <v>48</v>
      </c>
      <c r="G39" s="431">
        <v>6339</v>
      </c>
      <c r="H39" s="431">
        <v>13729</v>
      </c>
      <c r="I39" s="432">
        <v>0.46172335931240399</v>
      </c>
      <c r="J39" s="430" t="s">
        <v>927</v>
      </c>
      <c r="K39" s="430" t="s">
        <v>936</v>
      </c>
      <c r="L39" s="431" t="s">
        <v>929</v>
      </c>
    </row>
    <row r="40" spans="1:12" ht="10.199999999999999" hidden="1" customHeight="1" x14ac:dyDescent="0.2">
      <c r="A40" s="434" t="s">
        <v>923</v>
      </c>
      <c r="B40" s="433" t="s">
        <v>989</v>
      </c>
      <c r="C40" s="430" t="s">
        <v>990</v>
      </c>
      <c r="D40" s="433" t="s">
        <v>991</v>
      </c>
      <c r="E40" s="431">
        <v>41</v>
      </c>
      <c r="F40" s="431">
        <v>481</v>
      </c>
      <c r="G40" s="431">
        <v>16852</v>
      </c>
      <c r="H40" s="431">
        <v>22229</v>
      </c>
      <c r="I40" s="432">
        <v>0.75810877682306899</v>
      </c>
      <c r="J40" s="430" t="s">
        <v>927</v>
      </c>
      <c r="K40" s="430" t="s">
        <v>928</v>
      </c>
      <c r="L40" s="431" t="s">
        <v>929</v>
      </c>
    </row>
    <row r="41" spans="1:12" ht="10.199999999999999" hidden="1" customHeight="1" x14ac:dyDescent="0.2">
      <c r="A41" s="434" t="s">
        <v>923</v>
      </c>
      <c r="B41" s="433" t="s">
        <v>992</v>
      </c>
      <c r="C41" s="430" t="s">
        <v>993</v>
      </c>
      <c r="D41" s="433" t="s">
        <v>994</v>
      </c>
      <c r="E41" s="431">
        <v>2</v>
      </c>
      <c r="F41" s="431">
        <v>0</v>
      </c>
      <c r="G41" s="431">
        <v>786</v>
      </c>
      <c r="H41" s="431">
        <v>854</v>
      </c>
      <c r="I41" s="432">
        <v>0.92037470725995296</v>
      </c>
      <c r="J41" s="430" t="s">
        <v>927</v>
      </c>
      <c r="K41" s="430" t="s">
        <v>963</v>
      </c>
      <c r="L41" s="431" t="s">
        <v>929</v>
      </c>
    </row>
    <row r="42" spans="1:12" ht="10.199999999999999" hidden="1" customHeight="1" x14ac:dyDescent="0.2">
      <c r="A42" s="434" t="s">
        <v>923</v>
      </c>
      <c r="B42" s="433" t="s">
        <v>995</v>
      </c>
      <c r="C42" s="430" t="s">
        <v>1473</v>
      </c>
      <c r="D42" s="433" t="s">
        <v>996</v>
      </c>
      <c r="E42" s="431">
        <v>9</v>
      </c>
      <c r="F42" s="431">
        <v>6</v>
      </c>
      <c r="G42" s="431">
        <v>2212</v>
      </c>
      <c r="H42" s="431">
        <v>2400</v>
      </c>
      <c r="I42" s="432">
        <v>0.92166666666666597</v>
      </c>
      <c r="J42" s="430" t="s">
        <v>927</v>
      </c>
      <c r="K42" s="430" t="s">
        <v>936</v>
      </c>
      <c r="L42" s="431" t="s">
        <v>929</v>
      </c>
    </row>
    <row r="43" spans="1:12" ht="10.199999999999999" hidden="1" customHeight="1" x14ac:dyDescent="0.2">
      <c r="A43" s="434" t="s">
        <v>923</v>
      </c>
      <c r="B43" s="433" t="s">
        <v>997</v>
      </c>
      <c r="C43" s="430" t="s">
        <v>998</v>
      </c>
      <c r="D43" s="433" t="s">
        <v>996</v>
      </c>
      <c r="E43" s="431">
        <v>15</v>
      </c>
      <c r="F43" s="431">
        <v>149</v>
      </c>
      <c r="G43" s="431">
        <v>4719</v>
      </c>
      <c r="H43" s="431">
        <v>5952</v>
      </c>
      <c r="I43" s="432">
        <v>0.79284274193548399</v>
      </c>
      <c r="J43" s="430" t="s">
        <v>927</v>
      </c>
      <c r="K43" s="430" t="s">
        <v>963</v>
      </c>
      <c r="L43" s="431" t="s">
        <v>929</v>
      </c>
    </row>
    <row r="44" spans="1:12" ht="10.199999999999999" hidden="1" customHeight="1" x14ac:dyDescent="0.2">
      <c r="A44" s="434" t="s">
        <v>923</v>
      </c>
      <c r="B44" s="433" t="s">
        <v>999</v>
      </c>
      <c r="C44" s="430" t="s">
        <v>1000</v>
      </c>
      <c r="D44" s="433" t="s">
        <v>996</v>
      </c>
      <c r="E44" s="431">
        <v>11</v>
      </c>
      <c r="F44" s="431">
        <v>41</v>
      </c>
      <c r="G44" s="431">
        <v>3641</v>
      </c>
      <c r="H44" s="431">
        <v>4308</v>
      </c>
      <c r="I44" s="432">
        <v>0.84517177344475403</v>
      </c>
      <c r="J44" s="430" t="s">
        <v>927</v>
      </c>
      <c r="K44" s="430" t="s">
        <v>963</v>
      </c>
      <c r="L44" s="431" t="s">
        <v>929</v>
      </c>
    </row>
    <row r="45" spans="1:12" ht="10.199999999999999" hidden="1" customHeight="1" x14ac:dyDescent="0.2">
      <c r="A45" s="434" t="s">
        <v>923</v>
      </c>
      <c r="B45" s="433" t="s">
        <v>1001</v>
      </c>
      <c r="C45" s="430" t="s">
        <v>1002</v>
      </c>
      <c r="D45" s="433" t="s">
        <v>1003</v>
      </c>
      <c r="E45" s="431">
        <v>115</v>
      </c>
      <c r="F45" s="431">
        <v>1392</v>
      </c>
      <c r="G45" s="431">
        <v>73949</v>
      </c>
      <c r="H45" s="431">
        <v>108234</v>
      </c>
      <c r="I45" s="432">
        <v>0.68323262560747999</v>
      </c>
      <c r="J45" s="430" t="s">
        <v>927</v>
      </c>
      <c r="K45" s="430" t="s">
        <v>933</v>
      </c>
      <c r="L45" s="431" t="s">
        <v>929</v>
      </c>
    </row>
    <row r="46" spans="1:12" ht="10.199999999999999" hidden="1" customHeight="1" x14ac:dyDescent="0.2">
      <c r="A46" s="434" t="s">
        <v>923</v>
      </c>
      <c r="B46" s="433" t="s">
        <v>1004</v>
      </c>
      <c r="C46" s="430" t="s">
        <v>1005</v>
      </c>
      <c r="D46" s="433" t="s">
        <v>1006</v>
      </c>
      <c r="E46" s="431">
        <v>7</v>
      </c>
      <c r="F46" s="431">
        <v>5</v>
      </c>
      <c r="G46" s="431">
        <v>661</v>
      </c>
      <c r="H46" s="431">
        <v>960</v>
      </c>
      <c r="I46" s="432">
        <v>0.68854166666666705</v>
      </c>
      <c r="J46" s="430" t="s">
        <v>927</v>
      </c>
      <c r="K46" s="430" t="s">
        <v>936</v>
      </c>
      <c r="L46" s="431" t="s">
        <v>929</v>
      </c>
    </row>
    <row r="47" spans="1:12" ht="10.199999999999999" hidden="1" customHeight="1" x14ac:dyDescent="0.2">
      <c r="A47" s="434" t="s">
        <v>923</v>
      </c>
      <c r="B47" s="433" t="s">
        <v>1237</v>
      </c>
      <c r="C47" s="430" t="s">
        <v>1248</v>
      </c>
      <c r="D47" s="433" t="s">
        <v>1006</v>
      </c>
      <c r="E47" s="431">
        <v>3</v>
      </c>
      <c r="F47" s="431">
        <v>1</v>
      </c>
      <c r="G47" s="431">
        <v>423</v>
      </c>
      <c r="H47" s="431">
        <v>480</v>
      </c>
      <c r="I47" s="432">
        <v>0.88124999999999998</v>
      </c>
      <c r="J47" s="430" t="s">
        <v>927</v>
      </c>
      <c r="K47" s="430" t="s">
        <v>936</v>
      </c>
      <c r="L47" s="431" t="s">
        <v>1244</v>
      </c>
    </row>
    <row r="48" spans="1:12" ht="10.199999999999999" hidden="1" customHeight="1" x14ac:dyDescent="0.2">
      <c r="A48" s="434" t="s">
        <v>923</v>
      </c>
      <c r="B48" s="433" t="s">
        <v>1007</v>
      </c>
      <c r="C48" s="430" t="s">
        <v>1008</v>
      </c>
      <c r="D48" s="433" t="s">
        <v>974</v>
      </c>
      <c r="E48" s="431">
        <v>7</v>
      </c>
      <c r="F48" s="431">
        <v>0</v>
      </c>
      <c r="G48" s="431">
        <v>1042</v>
      </c>
      <c r="H48" s="431">
        <v>1050</v>
      </c>
      <c r="I48" s="432">
        <v>0.99238095238095203</v>
      </c>
      <c r="J48" s="430" t="s">
        <v>927</v>
      </c>
      <c r="K48" s="430" t="s">
        <v>936</v>
      </c>
      <c r="L48" s="431" t="s">
        <v>929</v>
      </c>
    </row>
    <row r="49" spans="1:12" ht="10.199999999999999" hidden="1" customHeight="1" x14ac:dyDescent="0.2">
      <c r="A49" s="434" t="s">
        <v>923</v>
      </c>
      <c r="B49" s="433" t="s">
        <v>1009</v>
      </c>
      <c r="C49" s="430" t="s">
        <v>1010</v>
      </c>
      <c r="D49" s="433" t="s">
        <v>996</v>
      </c>
      <c r="E49" s="431">
        <v>1</v>
      </c>
      <c r="F49" s="431">
        <v>0</v>
      </c>
      <c r="G49" s="431">
        <v>895</v>
      </c>
      <c r="H49" s="431">
        <v>960</v>
      </c>
      <c r="I49" s="432">
        <v>0.93229166666666596</v>
      </c>
      <c r="J49" s="430" t="s">
        <v>927</v>
      </c>
      <c r="K49" s="430" t="s">
        <v>936</v>
      </c>
      <c r="L49" s="431" t="s">
        <v>929</v>
      </c>
    </row>
    <row r="50" spans="1:12" ht="10.199999999999999" hidden="1" customHeight="1" x14ac:dyDescent="0.2">
      <c r="A50" s="434" t="s">
        <v>923</v>
      </c>
      <c r="B50" s="433" t="s">
        <v>1011</v>
      </c>
      <c r="C50" s="430" t="s">
        <v>1012</v>
      </c>
      <c r="D50" s="433" t="s">
        <v>1013</v>
      </c>
      <c r="E50" s="431">
        <v>8</v>
      </c>
      <c r="F50" s="431">
        <v>1</v>
      </c>
      <c r="G50" s="431">
        <v>791</v>
      </c>
      <c r="H50" s="431">
        <v>450000</v>
      </c>
      <c r="I50" s="432">
        <v>1.75777777777778E-3</v>
      </c>
      <c r="J50" s="430" t="s">
        <v>927</v>
      </c>
      <c r="K50" s="430" t="s">
        <v>933</v>
      </c>
      <c r="L50" s="431" t="s">
        <v>929</v>
      </c>
    </row>
    <row r="51" spans="1:12" ht="10.199999999999999" hidden="1" customHeight="1" x14ac:dyDescent="0.2">
      <c r="A51" s="434" t="s">
        <v>923</v>
      </c>
      <c r="B51" s="433" t="s">
        <v>1249</v>
      </c>
      <c r="C51" s="430" t="s">
        <v>1250</v>
      </c>
      <c r="D51" s="433" t="s">
        <v>1251</v>
      </c>
      <c r="E51" s="431">
        <v>5</v>
      </c>
      <c r="F51" s="431">
        <v>0</v>
      </c>
      <c r="G51" s="431">
        <v>0</v>
      </c>
      <c r="H51" s="431">
        <v>2027</v>
      </c>
      <c r="I51" s="432">
        <v>0</v>
      </c>
      <c r="J51" s="430" t="s">
        <v>927</v>
      </c>
      <c r="K51" s="430" t="s">
        <v>936</v>
      </c>
      <c r="L51" s="431" t="s">
        <v>929</v>
      </c>
    </row>
    <row r="52" spans="1:12" ht="10.199999999999999" hidden="1" customHeight="1" x14ac:dyDescent="0.2">
      <c r="A52" s="434" t="s">
        <v>923</v>
      </c>
      <c r="B52" s="433" t="s">
        <v>1252</v>
      </c>
      <c r="C52" s="430" t="s">
        <v>1253</v>
      </c>
      <c r="D52" s="433" t="s">
        <v>958</v>
      </c>
      <c r="E52" s="431">
        <v>10</v>
      </c>
      <c r="F52" s="431">
        <v>0</v>
      </c>
      <c r="G52" s="431">
        <v>0</v>
      </c>
      <c r="H52" s="431">
        <v>3864</v>
      </c>
      <c r="I52" s="432">
        <v>0</v>
      </c>
      <c r="J52" s="430" t="s">
        <v>927</v>
      </c>
      <c r="K52" s="430" t="s">
        <v>1254</v>
      </c>
      <c r="L52" s="431" t="s">
        <v>929</v>
      </c>
    </row>
    <row r="53" spans="1:12" ht="10.199999999999999" hidden="1" customHeight="1" x14ac:dyDescent="0.2">
      <c r="A53" s="434" t="s">
        <v>923</v>
      </c>
      <c r="B53" s="433" t="s">
        <v>1265</v>
      </c>
      <c r="C53" s="430" t="s">
        <v>1472</v>
      </c>
      <c r="D53" s="433" t="s">
        <v>1006</v>
      </c>
      <c r="E53" s="431">
        <v>2</v>
      </c>
      <c r="F53" s="431">
        <v>7</v>
      </c>
      <c r="G53" s="431">
        <v>773</v>
      </c>
      <c r="H53" s="431">
        <v>960</v>
      </c>
      <c r="I53" s="432">
        <v>0.80520833333333297</v>
      </c>
      <c r="J53" s="430" t="s">
        <v>927</v>
      </c>
      <c r="K53" s="430" t="s">
        <v>936</v>
      </c>
      <c r="L53" s="431" t="s">
        <v>929</v>
      </c>
    </row>
    <row r="54" spans="1:12" ht="10.199999999999999" hidden="1" customHeight="1" x14ac:dyDescent="0.2">
      <c r="A54" s="434" t="s">
        <v>923</v>
      </c>
      <c r="B54" s="433" t="s">
        <v>1014</v>
      </c>
      <c r="C54" s="430" t="s">
        <v>1015</v>
      </c>
      <c r="D54" s="433" t="s">
        <v>1016</v>
      </c>
      <c r="E54" s="431">
        <v>5</v>
      </c>
      <c r="F54" s="431">
        <v>0</v>
      </c>
      <c r="G54" s="431">
        <v>537</v>
      </c>
      <c r="H54" s="431">
        <v>1200</v>
      </c>
      <c r="I54" s="432">
        <v>0.44750000000000001</v>
      </c>
      <c r="J54" s="430" t="s">
        <v>927</v>
      </c>
      <c r="K54" s="430" t="s">
        <v>933</v>
      </c>
      <c r="L54" s="431" t="s">
        <v>929</v>
      </c>
    </row>
    <row r="55" spans="1:12" ht="10.199999999999999" hidden="1" customHeight="1" x14ac:dyDescent="0.2">
      <c r="A55" s="434" t="s">
        <v>923</v>
      </c>
      <c r="B55" s="433" t="s">
        <v>1017</v>
      </c>
      <c r="C55" s="430" t="s">
        <v>1018</v>
      </c>
      <c r="D55" s="433" t="s">
        <v>1016</v>
      </c>
      <c r="E55" s="431">
        <v>4</v>
      </c>
      <c r="F55" s="431">
        <v>0</v>
      </c>
      <c r="G55" s="431">
        <v>381</v>
      </c>
      <c r="H55" s="431">
        <v>958</v>
      </c>
      <c r="I55" s="432">
        <v>0.397703549060543</v>
      </c>
      <c r="J55" s="430" t="s">
        <v>927</v>
      </c>
      <c r="K55" s="430" t="s">
        <v>933</v>
      </c>
      <c r="L55" s="431" t="s">
        <v>929</v>
      </c>
    </row>
    <row r="56" spans="1:12" ht="10.199999999999999" hidden="1" customHeight="1" x14ac:dyDescent="0.2">
      <c r="A56" s="434" t="s">
        <v>923</v>
      </c>
      <c r="B56" s="433" t="s">
        <v>1019</v>
      </c>
      <c r="C56" s="430" t="s">
        <v>1020</v>
      </c>
      <c r="D56" s="433" t="s">
        <v>1016</v>
      </c>
      <c r="E56" s="431">
        <v>4</v>
      </c>
      <c r="F56" s="431">
        <v>0</v>
      </c>
      <c r="G56" s="431">
        <v>286</v>
      </c>
      <c r="H56" s="431">
        <v>958</v>
      </c>
      <c r="I56" s="432">
        <v>0.29853862212943599</v>
      </c>
      <c r="J56" s="430" t="s">
        <v>927</v>
      </c>
      <c r="K56" s="430" t="s">
        <v>933</v>
      </c>
      <c r="L56" s="431" t="s">
        <v>929</v>
      </c>
    </row>
    <row r="57" spans="1:12" ht="10.199999999999999" hidden="1" customHeight="1" x14ac:dyDescent="0.2">
      <c r="A57" s="434" t="s">
        <v>923</v>
      </c>
      <c r="B57" s="433" t="s">
        <v>1021</v>
      </c>
      <c r="C57" s="430" t="s">
        <v>1022</v>
      </c>
      <c r="D57" s="433" t="s">
        <v>1016</v>
      </c>
      <c r="E57" s="431">
        <v>2</v>
      </c>
      <c r="F57" s="431">
        <v>0</v>
      </c>
      <c r="G57" s="431">
        <v>537</v>
      </c>
      <c r="H57" s="431">
        <v>609</v>
      </c>
      <c r="I57" s="432">
        <v>0.88177339901477803</v>
      </c>
      <c r="J57" s="430" t="s">
        <v>927</v>
      </c>
      <c r="K57" s="430" t="s">
        <v>933</v>
      </c>
      <c r="L57" s="431" t="s">
        <v>929</v>
      </c>
    </row>
    <row r="58" spans="1:12" ht="10.199999999999999" hidden="1" customHeight="1" x14ac:dyDescent="0.2">
      <c r="A58" s="434" t="s">
        <v>923</v>
      </c>
      <c r="B58" s="433" t="s">
        <v>1023</v>
      </c>
      <c r="C58" s="430" t="s">
        <v>1024</v>
      </c>
      <c r="D58" s="433" t="s">
        <v>1025</v>
      </c>
      <c r="E58" s="431">
        <v>11</v>
      </c>
      <c r="F58" s="431">
        <v>3</v>
      </c>
      <c r="G58" s="431">
        <v>2186</v>
      </c>
      <c r="H58" s="431">
        <v>3738</v>
      </c>
      <c r="I58" s="432">
        <v>0.58480470840021404</v>
      </c>
      <c r="J58" s="430" t="s">
        <v>927</v>
      </c>
      <c r="K58" s="430" t="s">
        <v>928</v>
      </c>
      <c r="L58" s="431" t="s">
        <v>929</v>
      </c>
    </row>
    <row r="59" spans="1:12" ht="10.199999999999999" hidden="1" customHeight="1" x14ac:dyDescent="0.2">
      <c r="A59" s="434" t="s">
        <v>923</v>
      </c>
      <c r="B59" s="433" t="s">
        <v>1026</v>
      </c>
      <c r="C59" s="430" t="s">
        <v>1027</v>
      </c>
      <c r="D59" s="433" t="s">
        <v>1025</v>
      </c>
      <c r="E59" s="431">
        <v>0</v>
      </c>
      <c r="F59" s="431">
        <v>0</v>
      </c>
      <c r="G59" s="431">
        <v>0</v>
      </c>
      <c r="H59" s="431">
        <v>1976</v>
      </c>
      <c r="I59" s="432">
        <v>0</v>
      </c>
      <c r="J59" s="430" t="s">
        <v>927</v>
      </c>
      <c r="K59" s="430" t="s">
        <v>928</v>
      </c>
      <c r="L59" s="431" t="s">
        <v>929</v>
      </c>
    </row>
    <row r="60" spans="1:12" ht="10.199999999999999" hidden="1" customHeight="1" x14ac:dyDescent="0.2">
      <c r="A60" s="434" t="s">
        <v>923</v>
      </c>
      <c r="B60" s="433" t="s">
        <v>1028</v>
      </c>
      <c r="C60" s="430" t="s">
        <v>1029</v>
      </c>
      <c r="D60" s="433" t="s">
        <v>1013</v>
      </c>
      <c r="E60" s="431">
        <v>1</v>
      </c>
      <c r="F60" s="431">
        <v>0</v>
      </c>
      <c r="G60" s="431">
        <v>200</v>
      </c>
      <c r="H60" s="431">
        <v>200</v>
      </c>
      <c r="I60" s="432">
        <v>1</v>
      </c>
      <c r="J60" s="430" t="s">
        <v>927</v>
      </c>
      <c r="K60" s="430" t="s">
        <v>933</v>
      </c>
      <c r="L60" s="431" t="s">
        <v>929</v>
      </c>
    </row>
    <row r="61" spans="1:12" ht="10.199999999999999" hidden="1" customHeight="1" x14ac:dyDescent="0.2">
      <c r="A61" s="434" t="s">
        <v>923</v>
      </c>
      <c r="B61" s="433" t="s">
        <v>1030</v>
      </c>
      <c r="C61" s="430" t="s">
        <v>1031</v>
      </c>
      <c r="D61" s="433" t="s">
        <v>1032</v>
      </c>
      <c r="E61" s="431">
        <v>4</v>
      </c>
      <c r="F61" s="431">
        <v>3</v>
      </c>
      <c r="G61" s="431">
        <v>707</v>
      </c>
      <c r="H61" s="431">
        <v>940</v>
      </c>
      <c r="I61" s="432">
        <v>0.75212765957446803</v>
      </c>
      <c r="J61" s="430" t="s">
        <v>927</v>
      </c>
      <c r="K61" s="430" t="s">
        <v>936</v>
      </c>
      <c r="L61" s="431" t="s">
        <v>929</v>
      </c>
    </row>
    <row r="62" spans="1:12" ht="10.199999999999999" hidden="1" customHeight="1" x14ac:dyDescent="0.2">
      <c r="A62" s="434" t="s">
        <v>923</v>
      </c>
      <c r="B62" s="433" t="s">
        <v>1033</v>
      </c>
      <c r="C62" s="430" t="s">
        <v>1034</v>
      </c>
      <c r="D62" s="433" t="s">
        <v>1032</v>
      </c>
      <c r="E62" s="431">
        <v>1</v>
      </c>
      <c r="F62" s="431">
        <v>0</v>
      </c>
      <c r="G62" s="431">
        <v>900</v>
      </c>
      <c r="H62" s="431">
        <v>960</v>
      </c>
      <c r="I62" s="432">
        <v>0.9375</v>
      </c>
      <c r="J62" s="430" t="s">
        <v>927</v>
      </c>
      <c r="K62" s="430" t="s">
        <v>936</v>
      </c>
      <c r="L62" s="431" t="s">
        <v>929</v>
      </c>
    </row>
    <row r="63" spans="1:12" ht="10.199999999999999" hidden="1" customHeight="1" x14ac:dyDescent="0.2">
      <c r="A63" s="434" t="s">
        <v>923</v>
      </c>
      <c r="B63" s="433" t="s">
        <v>1035</v>
      </c>
      <c r="C63" s="430" t="s">
        <v>1036</v>
      </c>
      <c r="D63" s="433" t="s">
        <v>1032</v>
      </c>
      <c r="E63" s="431">
        <v>1</v>
      </c>
      <c r="F63" s="431">
        <v>0</v>
      </c>
      <c r="G63" s="431">
        <v>900</v>
      </c>
      <c r="H63" s="431">
        <v>960</v>
      </c>
      <c r="I63" s="432">
        <v>0.9375</v>
      </c>
      <c r="J63" s="430" t="s">
        <v>927</v>
      </c>
      <c r="K63" s="430" t="s">
        <v>936</v>
      </c>
      <c r="L63" s="431" t="s">
        <v>929</v>
      </c>
    </row>
    <row r="64" spans="1:12" ht="10.199999999999999" hidden="1" customHeight="1" x14ac:dyDescent="0.2">
      <c r="A64" s="434" t="s">
        <v>923</v>
      </c>
      <c r="B64" s="433" t="s">
        <v>1037</v>
      </c>
      <c r="C64" s="430" t="s">
        <v>1038</v>
      </c>
      <c r="D64" s="433" t="s">
        <v>1039</v>
      </c>
      <c r="E64" s="431">
        <v>0</v>
      </c>
      <c r="F64" s="431">
        <v>0</v>
      </c>
      <c r="G64" s="431">
        <v>0</v>
      </c>
      <c r="H64" s="431">
        <v>300</v>
      </c>
      <c r="I64" s="432">
        <v>0</v>
      </c>
      <c r="J64" s="430" t="s">
        <v>1040</v>
      </c>
      <c r="K64" s="430" t="s">
        <v>1040</v>
      </c>
      <c r="L64" s="431" t="s">
        <v>1040</v>
      </c>
    </row>
    <row r="65" spans="1:12" ht="10.199999999999999" hidden="1" customHeight="1" x14ac:dyDescent="0.2">
      <c r="A65" s="434" t="s">
        <v>923</v>
      </c>
      <c r="B65" s="433" t="s">
        <v>1041</v>
      </c>
      <c r="C65" s="430" t="s">
        <v>1042</v>
      </c>
      <c r="D65" s="433" t="s">
        <v>1039</v>
      </c>
      <c r="E65" s="431">
        <v>0</v>
      </c>
      <c r="F65" s="431">
        <v>0</v>
      </c>
      <c r="G65" s="431">
        <v>0</v>
      </c>
      <c r="H65" s="431">
        <v>300</v>
      </c>
      <c r="I65" s="432">
        <v>0</v>
      </c>
      <c r="J65" s="430" t="s">
        <v>1040</v>
      </c>
      <c r="K65" s="430" t="s">
        <v>1040</v>
      </c>
      <c r="L65" s="431" t="s">
        <v>1040</v>
      </c>
    </row>
    <row r="66" spans="1:12" ht="10.199999999999999" hidden="1" customHeight="1" x14ac:dyDescent="0.2">
      <c r="A66" s="434" t="s">
        <v>923</v>
      </c>
      <c r="B66" s="433" t="s">
        <v>1043</v>
      </c>
      <c r="C66" s="430" t="s">
        <v>1044</v>
      </c>
      <c r="D66" s="433" t="s">
        <v>1039</v>
      </c>
      <c r="E66" s="431">
        <v>0</v>
      </c>
      <c r="F66" s="431">
        <v>0</v>
      </c>
      <c r="G66" s="431">
        <v>0</v>
      </c>
      <c r="H66" s="431">
        <v>300</v>
      </c>
      <c r="I66" s="432">
        <v>0</v>
      </c>
      <c r="J66" s="430" t="s">
        <v>1040</v>
      </c>
      <c r="K66" s="430" t="s">
        <v>1040</v>
      </c>
      <c r="L66" s="431" t="s">
        <v>1040</v>
      </c>
    </row>
    <row r="67" spans="1:12" ht="10.199999999999999" hidden="1" customHeight="1" x14ac:dyDescent="0.2">
      <c r="A67" s="434" t="s">
        <v>923</v>
      </c>
      <c r="B67" s="433" t="s">
        <v>1045</v>
      </c>
      <c r="C67" s="430" t="s">
        <v>1046</v>
      </c>
      <c r="D67" s="433" t="s">
        <v>1039</v>
      </c>
      <c r="E67" s="431">
        <v>0</v>
      </c>
      <c r="F67" s="431">
        <v>0</v>
      </c>
      <c r="G67" s="431">
        <v>0</v>
      </c>
      <c r="H67" s="431">
        <v>300</v>
      </c>
      <c r="I67" s="432">
        <v>0</v>
      </c>
      <c r="J67" s="430" t="s">
        <v>1040</v>
      </c>
      <c r="K67" s="430" t="s">
        <v>1040</v>
      </c>
      <c r="L67" s="431" t="s">
        <v>1040</v>
      </c>
    </row>
    <row r="68" spans="1:12" ht="10.199999999999999" hidden="1" customHeight="1" x14ac:dyDescent="0.2">
      <c r="A68" s="434" t="s">
        <v>923</v>
      </c>
      <c r="B68" s="433" t="s">
        <v>1047</v>
      </c>
      <c r="C68" s="430" t="s">
        <v>1048</v>
      </c>
      <c r="D68" s="433" t="s">
        <v>1039</v>
      </c>
      <c r="E68" s="431">
        <v>0</v>
      </c>
      <c r="F68" s="431">
        <v>0</v>
      </c>
      <c r="G68" s="431">
        <v>0</v>
      </c>
      <c r="H68" s="431">
        <v>300</v>
      </c>
      <c r="I68" s="432">
        <v>0</v>
      </c>
      <c r="J68" s="430" t="s">
        <v>1040</v>
      </c>
      <c r="K68" s="430" t="s">
        <v>1040</v>
      </c>
      <c r="L68" s="431" t="s">
        <v>1040</v>
      </c>
    </row>
    <row r="69" spans="1:12" ht="10.199999999999999" hidden="1" customHeight="1" x14ac:dyDescent="0.2">
      <c r="A69" s="434" t="s">
        <v>923</v>
      </c>
      <c r="B69" s="433" t="s">
        <v>1049</v>
      </c>
      <c r="C69" s="430" t="s">
        <v>1050</v>
      </c>
      <c r="D69" s="433" t="s">
        <v>1032</v>
      </c>
      <c r="E69" s="431">
        <v>0</v>
      </c>
      <c r="F69" s="431">
        <v>0</v>
      </c>
      <c r="G69" s="431">
        <v>0</v>
      </c>
      <c r="H69" s="431">
        <v>300</v>
      </c>
      <c r="I69" s="432">
        <v>0</v>
      </c>
      <c r="J69" s="430" t="s">
        <v>1040</v>
      </c>
      <c r="K69" s="430" t="s">
        <v>1040</v>
      </c>
      <c r="L69" s="431" t="s">
        <v>1040</v>
      </c>
    </row>
    <row r="70" spans="1:12" ht="10.199999999999999" hidden="1" customHeight="1" x14ac:dyDescent="0.2">
      <c r="A70" s="434" t="s">
        <v>923</v>
      </c>
      <c r="B70" s="433" t="s">
        <v>1051</v>
      </c>
      <c r="C70" s="430" t="s">
        <v>1052</v>
      </c>
      <c r="D70" s="433" t="s">
        <v>996</v>
      </c>
      <c r="E70" s="431">
        <v>4</v>
      </c>
      <c r="F70" s="431">
        <v>4</v>
      </c>
      <c r="G70" s="431">
        <v>420</v>
      </c>
      <c r="H70" s="431">
        <v>480</v>
      </c>
      <c r="I70" s="432">
        <v>0.875</v>
      </c>
      <c r="J70" s="430" t="s">
        <v>927</v>
      </c>
      <c r="K70" s="430" t="s">
        <v>936</v>
      </c>
      <c r="L70" s="431" t="s">
        <v>929</v>
      </c>
    </row>
    <row r="71" spans="1:12" ht="10.199999999999999" hidden="1" customHeight="1" x14ac:dyDescent="0.2">
      <c r="A71" s="434" t="s">
        <v>923</v>
      </c>
      <c r="B71" s="433" t="s">
        <v>1053</v>
      </c>
      <c r="C71" s="430" t="s">
        <v>1054</v>
      </c>
      <c r="D71" s="433" t="s">
        <v>1055</v>
      </c>
      <c r="E71" s="431">
        <v>145</v>
      </c>
      <c r="F71" s="431">
        <v>1608</v>
      </c>
      <c r="G71" s="431">
        <v>61337</v>
      </c>
      <c r="H71" s="431">
        <v>79781</v>
      </c>
      <c r="I71" s="432">
        <v>0.76881713691229703</v>
      </c>
      <c r="J71" s="430" t="s">
        <v>927</v>
      </c>
      <c r="K71" s="430" t="s">
        <v>933</v>
      </c>
      <c r="L71" s="431" t="s">
        <v>929</v>
      </c>
    </row>
    <row r="72" spans="1:12" ht="10.199999999999999" hidden="1" customHeight="1" x14ac:dyDescent="0.2">
      <c r="A72" s="434" t="s">
        <v>923</v>
      </c>
      <c r="B72" s="433" t="s">
        <v>1056</v>
      </c>
      <c r="C72" s="430" t="s">
        <v>1057</v>
      </c>
      <c r="D72" s="433" t="s">
        <v>1058</v>
      </c>
      <c r="E72" s="431">
        <v>40</v>
      </c>
      <c r="F72" s="431">
        <v>634</v>
      </c>
      <c r="G72" s="431">
        <v>12692</v>
      </c>
      <c r="H72" s="431">
        <v>15796</v>
      </c>
      <c r="I72" s="432">
        <v>0.80349455558369198</v>
      </c>
      <c r="J72" s="430" t="s">
        <v>927</v>
      </c>
      <c r="K72" s="430" t="s">
        <v>933</v>
      </c>
      <c r="L72" s="431" t="s">
        <v>929</v>
      </c>
    </row>
    <row r="73" spans="1:12" ht="10.199999999999999" hidden="1" customHeight="1" x14ac:dyDescent="0.2">
      <c r="A73" s="434" t="s">
        <v>923</v>
      </c>
      <c r="B73" s="433" t="s">
        <v>1059</v>
      </c>
      <c r="C73" s="430" t="s">
        <v>1060</v>
      </c>
      <c r="D73" s="433" t="s">
        <v>1058</v>
      </c>
      <c r="E73" s="431">
        <v>81</v>
      </c>
      <c r="F73" s="431">
        <v>891</v>
      </c>
      <c r="G73" s="431">
        <v>23333</v>
      </c>
      <c r="H73" s="431">
        <v>32390</v>
      </c>
      <c r="I73" s="432">
        <v>0.72037665946279705</v>
      </c>
      <c r="J73" s="430" t="s">
        <v>927</v>
      </c>
      <c r="K73" s="430" t="s">
        <v>933</v>
      </c>
      <c r="L73" s="431" t="s">
        <v>929</v>
      </c>
    </row>
    <row r="74" spans="1:12" ht="10.199999999999999" hidden="1" customHeight="1" x14ac:dyDescent="0.2">
      <c r="A74" s="434" t="s">
        <v>923</v>
      </c>
      <c r="B74" s="433" t="s">
        <v>1061</v>
      </c>
      <c r="C74" s="430" t="s">
        <v>1062</v>
      </c>
      <c r="D74" s="433" t="s">
        <v>1063</v>
      </c>
      <c r="E74" s="431">
        <v>108</v>
      </c>
      <c r="F74" s="431">
        <v>431</v>
      </c>
      <c r="G74" s="431">
        <v>28729</v>
      </c>
      <c r="H74" s="431">
        <v>40656</v>
      </c>
      <c r="I74" s="432">
        <v>0.70663616686344</v>
      </c>
      <c r="J74" s="430" t="s">
        <v>927</v>
      </c>
      <c r="K74" s="430" t="s">
        <v>933</v>
      </c>
      <c r="L74" s="431" t="s">
        <v>929</v>
      </c>
    </row>
    <row r="75" spans="1:12" ht="10.199999999999999" hidden="1" customHeight="1" x14ac:dyDescent="0.2">
      <c r="A75" s="434" t="s">
        <v>923</v>
      </c>
      <c r="B75" s="433" t="s">
        <v>1064</v>
      </c>
      <c r="C75" s="430" t="s">
        <v>1065</v>
      </c>
      <c r="D75" s="433" t="s">
        <v>986</v>
      </c>
      <c r="E75" s="431">
        <v>0</v>
      </c>
      <c r="F75" s="431">
        <v>0</v>
      </c>
      <c r="G75" s="431">
        <v>0</v>
      </c>
      <c r="H75" s="431">
        <v>354</v>
      </c>
      <c r="I75" s="432">
        <v>0</v>
      </c>
      <c r="J75" s="430" t="s">
        <v>927</v>
      </c>
      <c r="K75" s="430" t="s">
        <v>933</v>
      </c>
      <c r="L75" s="431" t="s">
        <v>929</v>
      </c>
    </row>
    <row r="76" spans="1:12" ht="10.199999999999999" hidden="1" customHeight="1" x14ac:dyDescent="0.2">
      <c r="A76" s="434" t="s">
        <v>923</v>
      </c>
      <c r="B76" s="433" t="s">
        <v>1066</v>
      </c>
      <c r="C76" s="430" t="s">
        <v>1067</v>
      </c>
      <c r="D76" s="433" t="s">
        <v>1055</v>
      </c>
      <c r="E76" s="431">
        <v>0</v>
      </c>
      <c r="F76" s="431">
        <v>0</v>
      </c>
      <c r="G76" s="431">
        <v>0</v>
      </c>
      <c r="H76" s="431">
        <v>2649</v>
      </c>
      <c r="I76" s="432">
        <v>0</v>
      </c>
      <c r="J76" s="430" t="s">
        <v>927</v>
      </c>
      <c r="K76" s="430" t="s">
        <v>933</v>
      </c>
      <c r="L76" s="431" t="s">
        <v>929</v>
      </c>
    </row>
    <row r="77" spans="1:12" ht="10.199999999999999" hidden="1" customHeight="1" x14ac:dyDescent="0.2">
      <c r="A77" s="434" t="s">
        <v>923</v>
      </c>
      <c r="B77" s="433" t="s">
        <v>1068</v>
      </c>
      <c r="C77" s="430" t="s">
        <v>1069</v>
      </c>
      <c r="D77" s="433" t="s">
        <v>994</v>
      </c>
      <c r="E77" s="431">
        <v>0</v>
      </c>
      <c r="F77" s="431">
        <v>0</v>
      </c>
      <c r="G77" s="431">
        <v>0</v>
      </c>
      <c r="H77" s="431">
        <v>532</v>
      </c>
      <c r="I77" s="432">
        <v>0</v>
      </c>
      <c r="J77" s="430" t="s">
        <v>927</v>
      </c>
      <c r="K77" s="430" t="s">
        <v>933</v>
      </c>
      <c r="L77" s="431" t="s">
        <v>929</v>
      </c>
    </row>
    <row r="78" spans="1:12" ht="10.199999999999999" hidden="1" customHeight="1" x14ac:dyDescent="0.2">
      <c r="A78" s="434" t="s">
        <v>923</v>
      </c>
      <c r="B78" s="433" t="s">
        <v>1070</v>
      </c>
      <c r="C78" s="430" t="s">
        <v>1071</v>
      </c>
      <c r="D78" s="433" t="s">
        <v>966</v>
      </c>
      <c r="E78" s="431">
        <v>0</v>
      </c>
      <c r="F78" s="431">
        <v>0</v>
      </c>
      <c r="G78" s="431">
        <v>0</v>
      </c>
      <c r="H78" s="431">
        <v>653</v>
      </c>
      <c r="I78" s="432">
        <v>0</v>
      </c>
      <c r="J78" s="430" t="s">
        <v>927</v>
      </c>
      <c r="K78" s="430" t="s">
        <v>933</v>
      </c>
      <c r="L78" s="431" t="s">
        <v>929</v>
      </c>
    </row>
    <row r="79" spans="1:12" ht="10.199999999999999" hidden="1" customHeight="1" x14ac:dyDescent="0.2">
      <c r="A79" s="434" t="s">
        <v>923</v>
      </c>
      <c r="B79" s="433" t="s">
        <v>1072</v>
      </c>
      <c r="C79" s="430" t="s">
        <v>1073</v>
      </c>
      <c r="D79" s="433" t="s">
        <v>1025</v>
      </c>
      <c r="E79" s="431">
        <v>0</v>
      </c>
      <c r="F79" s="431">
        <v>0</v>
      </c>
      <c r="G79" s="431">
        <v>0</v>
      </c>
      <c r="H79" s="431">
        <v>2709</v>
      </c>
      <c r="I79" s="432">
        <v>0</v>
      </c>
      <c r="J79" s="430" t="s">
        <v>927</v>
      </c>
      <c r="K79" s="430" t="s">
        <v>933</v>
      </c>
      <c r="L79" s="431" t="s">
        <v>929</v>
      </c>
    </row>
    <row r="80" spans="1:12" ht="10.199999999999999" hidden="1" customHeight="1" x14ac:dyDescent="0.2">
      <c r="A80" s="434" t="s">
        <v>923</v>
      </c>
      <c r="B80" s="433" t="s">
        <v>1074</v>
      </c>
      <c r="C80" s="430" t="s">
        <v>1075</v>
      </c>
      <c r="D80" s="433" t="s">
        <v>1032</v>
      </c>
      <c r="E80" s="431">
        <v>1</v>
      </c>
      <c r="F80" s="431">
        <v>0</v>
      </c>
      <c r="G80" s="431">
        <v>52</v>
      </c>
      <c r="H80" s="431">
        <v>477</v>
      </c>
      <c r="I80" s="432">
        <v>0.109014675052411</v>
      </c>
      <c r="J80" s="430" t="s">
        <v>927</v>
      </c>
      <c r="K80" s="430" t="s">
        <v>936</v>
      </c>
      <c r="L80" s="431" t="s">
        <v>929</v>
      </c>
    </row>
    <row r="81" spans="1:12" ht="10.199999999999999" hidden="1" customHeight="1" x14ac:dyDescent="0.2">
      <c r="A81" s="434" t="s">
        <v>923</v>
      </c>
      <c r="B81" s="433" t="s">
        <v>1076</v>
      </c>
      <c r="C81" s="430" t="s">
        <v>1077</v>
      </c>
      <c r="D81" s="433" t="s">
        <v>986</v>
      </c>
      <c r="E81" s="431">
        <v>0</v>
      </c>
      <c r="F81" s="431">
        <v>0</v>
      </c>
      <c r="G81" s="431">
        <v>0</v>
      </c>
      <c r="H81" s="431">
        <v>39</v>
      </c>
      <c r="I81" s="432">
        <v>0</v>
      </c>
      <c r="J81" s="430" t="s">
        <v>927</v>
      </c>
      <c r="K81" s="430" t="s">
        <v>933</v>
      </c>
      <c r="L81" s="431" t="s">
        <v>929</v>
      </c>
    </row>
    <row r="82" spans="1:12" ht="10.199999999999999" hidden="1" customHeight="1" x14ac:dyDescent="0.2">
      <c r="A82" s="434" t="s">
        <v>923</v>
      </c>
      <c r="B82" s="433" t="s">
        <v>1078</v>
      </c>
      <c r="C82" s="430" t="s">
        <v>1079</v>
      </c>
      <c r="D82" s="433" t="s">
        <v>974</v>
      </c>
      <c r="E82" s="431">
        <v>0</v>
      </c>
      <c r="F82" s="431">
        <v>0</v>
      </c>
      <c r="G82" s="431">
        <v>0</v>
      </c>
      <c r="H82" s="431">
        <v>1316</v>
      </c>
      <c r="I82" s="432">
        <v>0</v>
      </c>
      <c r="J82" s="430" t="s">
        <v>927</v>
      </c>
      <c r="K82" s="430" t="s">
        <v>933</v>
      </c>
      <c r="L82" s="431" t="s">
        <v>929</v>
      </c>
    </row>
    <row r="83" spans="1:12" ht="10.199999999999999" hidden="1" customHeight="1" x14ac:dyDescent="0.2">
      <c r="A83" s="434" t="s">
        <v>923</v>
      </c>
      <c r="B83" s="433" t="s">
        <v>1080</v>
      </c>
      <c r="C83" s="430" t="s">
        <v>1081</v>
      </c>
      <c r="D83" s="433" t="s">
        <v>1055</v>
      </c>
      <c r="E83" s="431">
        <v>80</v>
      </c>
      <c r="F83" s="431">
        <v>756</v>
      </c>
      <c r="G83" s="431">
        <v>24892</v>
      </c>
      <c r="H83" s="431">
        <v>51669</v>
      </c>
      <c r="I83" s="432">
        <v>0.48175888830827002</v>
      </c>
      <c r="J83" s="430" t="s">
        <v>927</v>
      </c>
      <c r="K83" s="430" t="s">
        <v>933</v>
      </c>
      <c r="L83" s="431" t="s">
        <v>929</v>
      </c>
    </row>
    <row r="84" spans="1:12" ht="10.199999999999999" hidden="1" customHeight="1" x14ac:dyDescent="0.2">
      <c r="A84" s="434" t="s">
        <v>923</v>
      </c>
      <c r="B84" s="433" t="s">
        <v>1082</v>
      </c>
      <c r="C84" s="430" t="s">
        <v>1083</v>
      </c>
      <c r="D84" s="433" t="s">
        <v>1006</v>
      </c>
      <c r="E84" s="431">
        <v>1</v>
      </c>
      <c r="F84" s="431">
        <v>0</v>
      </c>
      <c r="G84" s="431">
        <v>1835</v>
      </c>
      <c r="H84" s="431">
        <v>1920</v>
      </c>
      <c r="I84" s="432">
        <v>0.95572916666666596</v>
      </c>
      <c r="J84" s="430" t="s">
        <v>927</v>
      </c>
      <c r="K84" s="430" t="s">
        <v>936</v>
      </c>
      <c r="L84" s="431" t="s">
        <v>929</v>
      </c>
    </row>
    <row r="85" spans="1:12" ht="10.199999999999999" hidden="1" customHeight="1" x14ac:dyDescent="0.2">
      <c r="A85" s="434" t="s">
        <v>923</v>
      </c>
      <c r="B85" s="433" t="s">
        <v>1084</v>
      </c>
      <c r="C85" s="430" t="s">
        <v>1085</v>
      </c>
      <c r="D85" s="433" t="s">
        <v>1006</v>
      </c>
      <c r="E85" s="431">
        <v>4</v>
      </c>
      <c r="F85" s="431">
        <v>7</v>
      </c>
      <c r="G85" s="431">
        <v>695</v>
      </c>
      <c r="H85" s="431">
        <v>960</v>
      </c>
      <c r="I85" s="432">
        <v>0.72395833333333404</v>
      </c>
      <c r="J85" s="430" t="s">
        <v>927</v>
      </c>
      <c r="K85" s="430" t="s">
        <v>936</v>
      </c>
      <c r="L85" s="431" t="s">
        <v>929</v>
      </c>
    </row>
    <row r="86" spans="1:12" ht="10.199999999999999" hidden="1" customHeight="1" x14ac:dyDescent="0.2">
      <c r="A86" s="434" t="s">
        <v>923</v>
      </c>
      <c r="B86" s="433" t="s">
        <v>1086</v>
      </c>
      <c r="C86" s="430" t="s">
        <v>1087</v>
      </c>
      <c r="D86" s="433" t="s">
        <v>1006</v>
      </c>
      <c r="E86" s="431">
        <v>3</v>
      </c>
      <c r="F86" s="431">
        <v>11</v>
      </c>
      <c r="G86" s="431">
        <v>878</v>
      </c>
      <c r="H86" s="431">
        <v>960</v>
      </c>
      <c r="I86" s="432">
        <v>0.91458333333333297</v>
      </c>
      <c r="J86" s="430" t="s">
        <v>927</v>
      </c>
      <c r="K86" s="430" t="s">
        <v>936</v>
      </c>
      <c r="L86" s="431" t="s">
        <v>929</v>
      </c>
    </row>
    <row r="87" spans="1:12" ht="10.199999999999999" hidden="1" customHeight="1" x14ac:dyDescent="0.2">
      <c r="A87" s="434" t="s">
        <v>923</v>
      </c>
      <c r="B87" s="433" t="s">
        <v>1088</v>
      </c>
      <c r="C87" s="430" t="s">
        <v>1089</v>
      </c>
      <c r="D87" s="433" t="s">
        <v>1006</v>
      </c>
      <c r="E87" s="431">
        <v>4</v>
      </c>
      <c r="F87" s="431">
        <v>25</v>
      </c>
      <c r="G87" s="431">
        <v>812</v>
      </c>
      <c r="H87" s="431">
        <v>960</v>
      </c>
      <c r="I87" s="432">
        <v>0.84583333333333299</v>
      </c>
      <c r="J87" s="430" t="s">
        <v>927</v>
      </c>
      <c r="K87" s="430" t="s">
        <v>936</v>
      </c>
      <c r="L87" s="431" t="s">
        <v>929</v>
      </c>
    </row>
    <row r="88" spans="1:12" ht="10.199999999999999" hidden="1" customHeight="1" x14ac:dyDescent="0.2">
      <c r="A88" s="434" t="s">
        <v>923</v>
      </c>
      <c r="B88" s="433" t="s">
        <v>1090</v>
      </c>
      <c r="C88" s="430" t="s">
        <v>1091</v>
      </c>
      <c r="D88" s="433" t="s">
        <v>1006</v>
      </c>
      <c r="E88" s="431">
        <v>1</v>
      </c>
      <c r="F88" s="431">
        <v>24</v>
      </c>
      <c r="G88" s="431">
        <v>900</v>
      </c>
      <c r="H88" s="431">
        <v>960</v>
      </c>
      <c r="I88" s="432">
        <v>0.9375</v>
      </c>
      <c r="J88" s="430" t="s">
        <v>927</v>
      </c>
      <c r="K88" s="430" t="s">
        <v>936</v>
      </c>
      <c r="L88" s="431" t="s">
        <v>929</v>
      </c>
    </row>
    <row r="89" spans="1:12" ht="10.199999999999999" hidden="1" customHeight="1" x14ac:dyDescent="0.2">
      <c r="A89" s="434" t="s">
        <v>923</v>
      </c>
      <c r="B89" s="433" t="s">
        <v>1092</v>
      </c>
      <c r="C89" s="430" t="s">
        <v>1093</v>
      </c>
      <c r="D89" s="433" t="s">
        <v>1006</v>
      </c>
      <c r="E89" s="431">
        <v>1</v>
      </c>
      <c r="F89" s="431">
        <v>46</v>
      </c>
      <c r="G89" s="431">
        <v>900</v>
      </c>
      <c r="H89" s="431">
        <v>960</v>
      </c>
      <c r="I89" s="432">
        <v>0.9375</v>
      </c>
      <c r="J89" s="430" t="s">
        <v>927</v>
      </c>
      <c r="K89" s="430" t="s">
        <v>936</v>
      </c>
      <c r="L89" s="431" t="s">
        <v>929</v>
      </c>
    </row>
    <row r="90" spans="1:12" ht="10.199999999999999" hidden="1" customHeight="1" x14ac:dyDescent="0.2">
      <c r="A90" s="434" t="s">
        <v>923</v>
      </c>
      <c r="B90" s="433" t="s">
        <v>1094</v>
      </c>
      <c r="C90" s="430" t="s">
        <v>1095</v>
      </c>
      <c r="D90" s="433" t="s">
        <v>1032</v>
      </c>
      <c r="E90" s="431">
        <v>2</v>
      </c>
      <c r="F90" s="431">
        <v>0</v>
      </c>
      <c r="G90" s="431">
        <v>104</v>
      </c>
      <c r="H90" s="431">
        <v>477</v>
      </c>
      <c r="I90" s="432">
        <v>0.218029350104822</v>
      </c>
      <c r="J90" s="430" t="s">
        <v>927</v>
      </c>
      <c r="K90" s="430" t="s">
        <v>936</v>
      </c>
      <c r="L90" s="431" t="s">
        <v>929</v>
      </c>
    </row>
    <row r="91" spans="1:12" ht="10.199999999999999" hidden="1" customHeight="1" x14ac:dyDescent="0.2">
      <c r="A91" s="434" t="s">
        <v>923</v>
      </c>
      <c r="B91" s="433" t="s">
        <v>1096</v>
      </c>
      <c r="C91" s="430" t="s">
        <v>1097</v>
      </c>
      <c r="D91" s="433" t="s">
        <v>1006</v>
      </c>
      <c r="E91" s="431">
        <v>0</v>
      </c>
      <c r="F91" s="431">
        <v>0</v>
      </c>
      <c r="G91" s="431">
        <v>0</v>
      </c>
      <c r="H91" s="431">
        <v>960</v>
      </c>
      <c r="I91" s="432">
        <v>0</v>
      </c>
      <c r="J91" s="430" t="s">
        <v>927</v>
      </c>
      <c r="K91" s="430" t="s">
        <v>936</v>
      </c>
      <c r="L91" s="431" t="s">
        <v>929</v>
      </c>
    </row>
    <row r="92" spans="1:12" ht="10.199999999999999" hidden="1" customHeight="1" x14ac:dyDescent="0.2">
      <c r="A92" s="434" t="s">
        <v>923</v>
      </c>
      <c r="B92" s="433" t="s">
        <v>1098</v>
      </c>
      <c r="C92" s="430" t="s">
        <v>1099</v>
      </c>
      <c r="D92" s="433" t="s">
        <v>1100</v>
      </c>
      <c r="E92" s="431">
        <v>1</v>
      </c>
      <c r="F92" s="431">
        <v>0</v>
      </c>
      <c r="G92" s="431">
        <v>382</v>
      </c>
      <c r="H92" s="431">
        <v>878</v>
      </c>
      <c r="I92" s="432">
        <v>0.43507972665148098</v>
      </c>
      <c r="J92" s="430" t="s">
        <v>927</v>
      </c>
      <c r="K92" s="430" t="s">
        <v>933</v>
      </c>
      <c r="L92" s="431" t="s">
        <v>929</v>
      </c>
    </row>
    <row r="93" spans="1:12" ht="10.199999999999999" hidden="1" customHeight="1" x14ac:dyDescent="0.2">
      <c r="A93" s="434" t="s">
        <v>923</v>
      </c>
      <c r="B93" s="433" t="s">
        <v>1101</v>
      </c>
      <c r="C93" s="430" t="s">
        <v>1102</v>
      </c>
      <c r="D93" s="433" t="s">
        <v>994</v>
      </c>
      <c r="E93" s="431">
        <v>1</v>
      </c>
      <c r="F93" s="431">
        <v>0</v>
      </c>
      <c r="G93" s="431">
        <v>617</v>
      </c>
      <c r="H93" s="431">
        <v>625</v>
      </c>
      <c r="I93" s="432">
        <v>0.98719999999999997</v>
      </c>
      <c r="J93" s="430" t="s">
        <v>927</v>
      </c>
      <c r="K93" s="430" t="s">
        <v>963</v>
      </c>
      <c r="L93" s="431" t="s">
        <v>929</v>
      </c>
    </row>
    <row r="94" spans="1:12" ht="10.199999999999999" hidden="1" customHeight="1" x14ac:dyDescent="0.2">
      <c r="A94" s="434" t="s">
        <v>923</v>
      </c>
      <c r="B94" s="433" t="s">
        <v>1103</v>
      </c>
      <c r="C94" s="430" t="s">
        <v>1104</v>
      </c>
      <c r="D94" s="433" t="s">
        <v>994</v>
      </c>
      <c r="E94" s="431">
        <v>1</v>
      </c>
      <c r="F94" s="431">
        <v>0</v>
      </c>
      <c r="G94" s="431">
        <v>612</v>
      </c>
      <c r="H94" s="431">
        <v>625</v>
      </c>
      <c r="I94" s="432">
        <v>0.97919999999999996</v>
      </c>
      <c r="J94" s="430" t="s">
        <v>927</v>
      </c>
      <c r="K94" s="430" t="s">
        <v>963</v>
      </c>
      <c r="L94" s="431" t="s">
        <v>929</v>
      </c>
    </row>
    <row r="95" spans="1:12" ht="10.199999999999999" hidden="1" customHeight="1" x14ac:dyDescent="0.2">
      <c r="A95" s="434" t="s">
        <v>923</v>
      </c>
      <c r="B95" s="433" t="s">
        <v>1105</v>
      </c>
      <c r="C95" s="430" t="s">
        <v>1106</v>
      </c>
      <c r="D95" s="433" t="s">
        <v>1107</v>
      </c>
      <c r="E95" s="431">
        <v>2</v>
      </c>
      <c r="F95" s="431">
        <v>0</v>
      </c>
      <c r="G95" s="431">
        <v>578</v>
      </c>
      <c r="H95" s="431">
        <v>669</v>
      </c>
      <c r="I95" s="432">
        <v>0.86397608370702506</v>
      </c>
      <c r="J95" s="430" t="s">
        <v>927</v>
      </c>
      <c r="K95" s="430" t="s">
        <v>933</v>
      </c>
      <c r="L95" s="431" t="s">
        <v>929</v>
      </c>
    </row>
    <row r="96" spans="1:12" ht="10.199999999999999" hidden="1" customHeight="1" x14ac:dyDescent="0.2">
      <c r="A96" s="434" t="s">
        <v>923</v>
      </c>
      <c r="B96" s="433" t="s">
        <v>1108</v>
      </c>
      <c r="C96" s="430" t="s">
        <v>1109</v>
      </c>
      <c r="D96" s="433" t="s">
        <v>1110</v>
      </c>
      <c r="E96" s="431">
        <v>1</v>
      </c>
      <c r="F96" s="431">
        <v>0</v>
      </c>
      <c r="G96" s="431">
        <v>300</v>
      </c>
      <c r="H96" s="431">
        <v>320</v>
      </c>
      <c r="I96" s="432">
        <v>0.9375</v>
      </c>
      <c r="J96" s="430" t="s">
        <v>927</v>
      </c>
      <c r="K96" s="430" t="s">
        <v>936</v>
      </c>
      <c r="L96" s="431" t="s">
        <v>929</v>
      </c>
    </row>
    <row r="97" spans="1:12" ht="10.199999999999999" hidden="1" customHeight="1" x14ac:dyDescent="0.2">
      <c r="A97" s="434" t="s">
        <v>923</v>
      </c>
      <c r="B97" s="433" t="s">
        <v>1111</v>
      </c>
      <c r="C97" s="430" t="s">
        <v>1112</v>
      </c>
      <c r="D97" s="433" t="s">
        <v>1113</v>
      </c>
      <c r="E97" s="431">
        <v>2</v>
      </c>
      <c r="F97" s="431">
        <v>6</v>
      </c>
      <c r="G97" s="431">
        <v>1129</v>
      </c>
      <c r="H97" s="431">
        <v>1510</v>
      </c>
      <c r="I97" s="432">
        <v>0.74768211920529803</v>
      </c>
      <c r="J97" s="430" t="s">
        <v>927</v>
      </c>
      <c r="K97" s="430" t="s">
        <v>933</v>
      </c>
      <c r="L97" s="431" t="s">
        <v>929</v>
      </c>
    </row>
    <row r="98" spans="1:12" ht="10.199999999999999" hidden="1" customHeight="1" x14ac:dyDescent="0.2">
      <c r="A98" s="434" t="s">
        <v>923</v>
      </c>
      <c r="B98" s="433" t="s">
        <v>1114</v>
      </c>
      <c r="C98" s="430" t="s">
        <v>1115</v>
      </c>
      <c r="D98" s="433" t="s">
        <v>1116</v>
      </c>
      <c r="E98" s="431">
        <v>1</v>
      </c>
      <c r="F98" s="431">
        <v>0</v>
      </c>
      <c r="G98" s="431">
        <v>910</v>
      </c>
      <c r="H98" s="431">
        <v>960</v>
      </c>
      <c r="I98" s="432">
        <v>0.94791666666666596</v>
      </c>
      <c r="J98" s="430" t="s">
        <v>927</v>
      </c>
      <c r="K98" s="430" t="s">
        <v>936</v>
      </c>
      <c r="L98" s="431" t="s">
        <v>929</v>
      </c>
    </row>
    <row r="99" spans="1:12" ht="10.199999999999999" hidden="1" customHeight="1" x14ac:dyDescent="0.2">
      <c r="A99" s="434" t="s">
        <v>923</v>
      </c>
      <c r="B99" s="433" t="s">
        <v>1117</v>
      </c>
      <c r="C99" s="430" t="s">
        <v>1118</v>
      </c>
      <c r="D99" s="433" t="s">
        <v>1119</v>
      </c>
      <c r="E99" s="431">
        <v>1</v>
      </c>
      <c r="F99" s="431">
        <v>0</v>
      </c>
      <c r="G99" s="431">
        <v>200</v>
      </c>
      <c r="H99" s="431">
        <v>235</v>
      </c>
      <c r="I99" s="432">
        <v>0.85106382978723405</v>
      </c>
      <c r="J99" s="430" t="s">
        <v>927</v>
      </c>
      <c r="K99" s="430" t="s">
        <v>933</v>
      </c>
      <c r="L99" s="431" t="s">
        <v>929</v>
      </c>
    </row>
    <row r="100" spans="1:12" ht="10.199999999999999" hidden="1" customHeight="1" x14ac:dyDescent="0.2">
      <c r="A100" s="434" t="s">
        <v>923</v>
      </c>
      <c r="B100" s="433" t="s">
        <v>1120</v>
      </c>
      <c r="C100" s="430" t="s">
        <v>1121</v>
      </c>
      <c r="D100" s="433" t="s">
        <v>1119</v>
      </c>
      <c r="E100" s="431">
        <v>2</v>
      </c>
      <c r="F100" s="431">
        <v>0</v>
      </c>
      <c r="G100" s="431">
        <v>739</v>
      </c>
      <c r="H100" s="431">
        <v>1136</v>
      </c>
      <c r="I100" s="432">
        <v>0.65052816901408395</v>
      </c>
      <c r="J100" s="430" t="s">
        <v>927</v>
      </c>
      <c r="K100" s="430" t="s">
        <v>933</v>
      </c>
      <c r="L100" s="431" t="s">
        <v>929</v>
      </c>
    </row>
    <row r="101" spans="1:12" ht="10.199999999999999" hidden="1" customHeight="1" x14ac:dyDescent="0.2">
      <c r="A101" s="434" t="s">
        <v>923</v>
      </c>
      <c r="B101" s="433" t="s">
        <v>1426</v>
      </c>
      <c r="C101" s="430" t="s">
        <v>1471</v>
      </c>
      <c r="D101" s="433" t="s">
        <v>1404</v>
      </c>
      <c r="E101" s="431">
        <v>1</v>
      </c>
      <c r="F101" s="431">
        <v>0</v>
      </c>
      <c r="G101" s="431">
        <v>312</v>
      </c>
      <c r="H101" s="431">
        <v>320</v>
      </c>
      <c r="I101" s="432">
        <v>0.97499999999999998</v>
      </c>
      <c r="J101" s="430" t="s">
        <v>927</v>
      </c>
      <c r="K101" s="430" t="s">
        <v>963</v>
      </c>
      <c r="L101" s="431" t="s">
        <v>1244</v>
      </c>
    </row>
    <row r="102" spans="1:12" ht="10.199999999999999" hidden="1" customHeight="1" x14ac:dyDescent="0.2">
      <c r="A102" s="434" t="s">
        <v>923</v>
      </c>
      <c r="B102" s="433" t="s">
        <v>1424</v>
      </c>
      <c r="C102" s="430" t="s">
        <v>1470</v>
      </c>
      <c r="D102" s="433" t="s">
        <v>1404</v>
      </c>
      <c r="E102" s="431">
        <v>1</v>
      </c>
      <c r="F102" s="431">
        <v>0</v>
      </c>
      <c r="G102" s="431">
        <v>312</v>
      </c>
      <c r="H102" s="431">
        <v>320</v>
      </c>
      <c r="I102" s="432">
        <v>0.97499999999999998</v>
      </c>
      <c r="J102" s="430" t="s">
        <v>927</v>
      </c>
      <c r="K102" s="430" t="s">
        <v>963</v>
      </c>
      <c r="L102" s="431" t="s">
        <v>1244</v>
      </c>
    </row>
    <row r="103" spans="1:12" ht="10.199999999999999" hidden="1" customHeight="1" x14ac:dyDescent="0.2">
      <c r="A103" s="434" t="s">
        <v>923</v>
      </c>
      <c r="B103" s="433" t="s">
        <v>1422</v>
      </c>
      <c r="C103" s="430" t="s">
        <v>1469</v>
      </c>
      <c r="D103" s="433" t="s">
        <v>1404</v>
      </c>
      <c r="E103" s="431">
        <v>1</v>
      </c>
      <c r="F103" s="431">
        <v>0</v>
      </c>
      <c r="G103" s="431">
        <v>312</v>
      </c>
      <c r="H103" s="431">
        <v>320</v>
      </c>
      <c r="I103" s="432">
        <v>0.97499999999999998</v>
      </c>
      <c r="J103" s="430" t="s">
        <v>927</v>
      </c>
      <c r="K103" s="430" t="s">
        <v>963</v>
      </c>
      <c r="L103" s="431" t="s">
        <v>1244</v>
      </c>
    </row>
    <row r="104" spans="1:12" ht="10.199999999999999" hidden="1" customHeight="1" x14ac:dyDescent="0.2">
      <c r="A104" s="434" t="s">
        <v>923</v>
      </c>
      <c r="B104" s="433" t="s">
        <v>1420</v>
      </c>
      <c r="C104" s="430" t="s">
        <v>1468</v>
      </c>
      <c r="D104" s="433" t="s">
        <v>1404</v>
      </c>
      <c r="E104" s="431">
        <v>1</v>
      </c>
      <c r="F104" s="431">
        <v>0</v>
      </c>
      <c r="G104" s="431">
        <v>312</v>
      </c>
      <c r="H104" s="431">
        <v>320</v>
      </c>
      <c r="I104" s="432">
        <v>0.97499999999999998</v>
      </c>
      <c r="J104" s="430" t="s">
        <v>927</v>
      </c>
      <c r="K104" s="430" t="s">
        <v>963</v>
      </c>
      <c r="L104" s="431" t="s">
        <v>1244</v>
      </c>
    </row>
    <row r="105" spans="1:12" ht="10.199999999999999" hidden="1" customHeight="1" x14ac:dyDescent="0.2">
      <c r="A105" s="434" t="s">
        <v>923</v>
      </c>
      <c r="B105" s="433" t="s">
        <v>1418</v>
      </c>
      <c r="C105" s="430" t="s">
        <v>1467</v>
      </c>
      <c r="D105" s="433" t="s">
        <v>1404</v>
      </c>
      <c r="E105" s="431">
        <v>1</v>
      </c>
      <c r="F105" s="431">
        <v>0</v>
      </c>
      <c r="G105" s="431">
        <v>312</v>
      </c>
      <c r="H105" s="431">
        <v>320</v>
      </c>
      <c r="I105" s="432">
        <v>0.97499999999999998</v>
      </c>
      <c r="J105" s="430" t="s">
        <v>927</v>
      </c>
      <c r="K105" s="430" t="s">
        <v>963</v>
      </c>
      <c r="L105" s="431" t="s">
        <v>1244</v>
      </c>
    </row>
    <row r="106" spans="1:12" ht="10.199999999999999" hidden="1" customHeight="1" x14ac:dyDescent="0.2">
      <c r="A106" s="434" t="s">
        <v>923</v>
      </c>
      <c r="B106" s="433" t="s">
        <v>1416</v>
      </c>
      <c r="C106" s="430" t="s">
        <v>1466</v>
      </c>
      <c r="D106" s="433" t="s">
        <v>1404</v>
      </c>
      <c r="E106" s="431">
        <v>1</v>
      </c>
      <c r="F106" s="431">
        <v>0</v>
      </c>
      <c r="G106" s="431">
        <v>312</v>
      </c>
      <c r="H106" s="431">
        <v>320</v>
      </c>
      <c r="I106" s="432">
        <v>0.97499999999999998</v>
      </c>
      <c r="J106" s="430" t="s">
        <v>927</v>
      </c>
      <c r="K106" s="430" t="s">
        <v>963</v>
      </c>
      <c r="L106" s="431" t="s">
        <v>1244</v>
      </c>
    </row>
    <row r="107" spans="1:12" ht="10.199999999999999" hidden="1" customHeight="1" x14ac:dyDescent="0.2">
      <c r="A107" s="434" t="s">
        <v>923</v>
      </c>
      <c r="B107" s="433" t="s">
        <v>1414</v>
      </c>
      <c r="C107" s="430" t="s">
        <v>1465</v>
      </c>
      <c r="D107" s="433" t="s">
        <v>1404</v>
      </c>
      <c r="E107" s="431">
        <v>1</v>
      </c>
      <c r="F107" s="431">
        <v>0</v>
      </c>
      <c r="G107" s="431">
        <v>312</v>
      </c>
      <c r="H107" s="431">
        <v>320</v>
      </c>
      <c r="I107" s="432">
        <v>0.97499999999999998</v>
      </c>
      <c r="J107" s="430" t="s">
        <v>927</v>
      </c>
      <c r="K107" s="430" t="s">
        <v>963</v>
      </c>
      <c r="L107" s="431" t="s">
        <v>1244</v>
      </c>
    </row>
    <row r="108" spans="1:12" ht="10.199999999999999" hidden="1" customHeight="1" x14ac:dyDescent="0.2">
      <c r="A108" s="434" t="s">
        <v>923</v>
      </c>
      <c r="B108" s="433" t="s">
        <v>1412</v>
      </c>
      <c r="C108" s="430" t="s">
        <v>1464</v>
      </c>
      <c r="D108" s="433" t="s">
        <v>1404</v>
      </c>
      <c r="E108" s="431">
        <v>1</v>
      </c>
      <c r="F108" s="431">
        <v>0</v>
      </c>
      <c r="G108" s="431">
        <v>312</v>
      </c>
      <c r="H108" s="431">
        <v>320</v>
      </c>
      <c r="I108" s="432">
        <v>0.97499999999999998</v>
      </c>
      <c r="J108" s="430" t="s">
        <v>927</v>
      </c>
      <c r="K108" s="430" t="s">
        <v>963</v>
      </c>
      <c r="L108" s="431" t="s">
        <v>1244</v>
      </c>
    </row>
    <row r="109" spans="1:12" ht="10.199999999999999" hidden="1" customHeight="1" x14ac:dyDescent="0.2">
      <c r="A109" s="434" t="s">
        <v>923</v>
      </c>
      <c r="B109" s="433" t="s">
        <v>1410</v>
      </c>
      <c r="C109" s="430" t="s">
        <v>1463</v>
      </c>
      <c r="D109" s="433" t="s">
        <v>1404</v>
      </c>
      <c r="E109" s="431">
        <v>1</v>
      </c>
      <c r="F109" s="431">
        <v>0</v>
      </c>
      <c r="G109" s="431">
        <v>312</v>
      </c>
      <c r="H109" s="431">
        <v>320</v>
      </c>
      <c r="I109" s="432">
        <v>0.97499999999999998</v>
      </c>
      <c r="J109" s="430" t="s">
        <v>927</v>
      </c>
      <c r="K109" s="430" t="s">
        <v>963</v>
      </c>
      <c r="L109" s="431" t="s">
        <v>1244</v>
      </c>
    </row>
    <row r="110" spans="1:12" ht="10.199999999999999" hidden="1" customHeight="1" x14ac:dyDescent="0.2">
      <c r="A110" s="434" t="s">
        <v>923</v>
      </c>
      <c r="B110" s="433" t="s">
        <v>1408</v>
      </c>
      <c r="C110" s="430" t="s">
        <v>1462</v>
      </c>
      <c r="D110" s="433" t="s">
        <v>1404</v>
      </c>
      <c r="E110" s="431">
        <v>1</v>
      </c>
      <c r="F110" s="431">
        <v>0</v>
      </c>
      <c r="G110" s="431">
        <v>312</v>
      </c>
      <c r="H110" s="431">
        <v>320</v>
      </c>
      <c r="I110" s="432">
        <v>0.97499999999999998</v>
      </c>
      <c r="J110" s="430" t="s">
        <v>927</v>
      </c>
      <c r="K110" s="430" t="s">
        <v>963</v>
      </c>
      <c r="L110" s="431" t="s">
        <v>1244</v>
      </c>
    </row>
    <row r="111" spans="1:12" ht="10.199999999999999" hidden="1" customHeight="1" x14ac:dyDescent="0.2">
      <c r="A111" s="434" t="s">
        <v>923</v>
      </c>
      <c r="B111" s="433" t="s">
        <v>1406</v>
      </c>
      <c r="C111" s="430" t="s">
        <v>1461</v>
      </c>
      <c r="D111" s="433" t="s">
        <v>1404</v>
      </c>
      <c r="E111" s="431">
        <v>1</v>
      </c>
      <c r="F111" s="431">
        <v>0</v>
      </c>
      <c r="G111" s="431">
        <v>312</v>
      </c>
      <c r="H111" s="431">
        <v>320</v>
      </c>
      <c r="I111" s="432">
        <v>0.97499999999999998</v>
      </c>
      <c r="J111" s="430" t="s">
        <v>927</v>
      </c>
      <c r="K111" s="430" t="s">
        <v>963</v>
      </c>
      <c r="L111" s="431" t="s">
        <v>1244</v>
      </c>
    </row>
    <row r="112" spans="1:12" ht="10.199999999999999" hidden="1" customHeight="1" x14ac:dyDescent="0.2">
      <c r="A112" s="434" t="s">
        <v>923</v>
      </c>
      <c r="B112" s="433" t="s">
        <v>1460</v>
      </c>
      <c r="C112" s="430" t="s">
        <v>1459</v>
      </c>
      <c r="D112" s="433" t="s">
        <v>1404</v>
      </c>
      <c r="E112" s="431">
        <v>1</v>
      </c>
      <c r="F112" s="431">
        <v>0</v>
      </c>
      <c r="G112" s="431">
        <v>312</v>
      </c>
      <c r="H112" s="431">
        <v>320</v>
      </c>
      <c r="I112" s="432">
        <v>0.97499999999999998</v>
      </c>
      <c r="J112" s="430" t="s">
        <v>927</v>
      </c>
      <c r="K112" s="430" t="s">
        <v>963</v>
      </c>
      <c r="L112" s="431" t="s">
        <v>1244</v>
      </c>
    </row>
    <row r="113" spans="1:12" ht="10.199999999999999" hidden="1" customHeight="1" x14ac:dyDescent="0.2">
      <c r="A113" s="434" t="s">
        <v>923</v>
      </c>
      <c r="B113" s="433" t="s">
        <v>1458</v>
      </c>
      <c r="C113" s="430" t="s">
        <v>1457</v>
      </c>
      <c r="D113" s="433" t="s">
        <v>1404</v>
      </c>
      <c r="E113" s="431">
        <v>1</v>
      </c>
      <c r="F113" s="431">
        <v>0</v>
      </c>
      <c r="G113" s="431">
        <v>312</v>
      </c>
      <c r="H113" s="431">
        <v>320</v>
      </c>
      <c r="I113" s="432">
        <v>0.97499999999999998</v>
      </c>
      <c r="J113" s="430" t="s">
        <v>927</v>
      </c>
      <c r="K113" s="430" t="s">
        <v>963</v>
      </c>
      <c r="L113" s="431" t="s">
        <v>1244</v>
      </c>
    </row>
    <row r="114" spans="1:12" ht="10.199999999999999" hidden="1" customHeight="1" x14ac:dyDescent="0.2">
      <c r="A114" s="434" t="s">
        <v>923</v>
      </c>
      <c r="B114" s="433" t="s">
        <v>1456</v>
      </c>
      <c r="C114" s="430" t="s">
        <v>1455</v>
      </c>
      <c r="D114" s="433" t="s">
        <v>1404</v>
      </c>
      <c r="E114" s="431">
        <v>1</v>
      </c>
      <c r="F114" s="431">
        <v>0</v>
      </c>
      <c r="G114" s="431">
        <v>312</v>
      </c>
      <c r="H114" s="431">
        <v>320</v>
      </c>
      <c r="I114" s="432">
        <v>0.97499999999999998</v>
      </c>
      <c r="J114" s="430" t="s">
        <v>927</v>
      </c>
      <c r="K114" s="430" t="s">
        <v>963</v>
      </c>
      <c r="L114" s="431" t="s">
        <v>1244</v>
      </c>
    </row>
    <row r="115" spans="1:12" ht="10.199999999999999" hidden="1" customHeight="1" x14ac:dyDescent="0.2">
      <c r="A115" s="434" t="s">
        <v>923</v>
      </c>
      <c r="B115" s="433" t="s">
        <v>1454</v>
      </c>
      <c r="C115" s="430" t="s">
        <v>1453</v>
      </c>
      <c r="D115" s="433" t="s">
        <v>1404</v>
      </c>
      <c r="E115" s="431">
        <v>1</v>
      </c>
      <c r="F115" s="431">
        <v>0</v>
      </c>
      <c r="G115" s="431">
        <v>235</v>
      </c>
      <c r="H115" s="431">
        <v>240</v>
      </c>
      <c r="I115" s="432">
        <v>0.97916666666666596</v>
      </c>
      <c r="J115" s="430" t="s">
        <v>927</v>
      </c>
      <c r="K115" s="430" t="s">
        <v>963</v>
      </c>
      <c r="L115" s="431" t="s">
        <v>1244</v>
      </c>
    </row>
    <row r="116" spans="1:12" ht="10.199999999999999" hidden="1" customHeight="1" x14ac:dyDescent="0.2">
      <c r="A116" s="434" t="s">
        <v>1122</v>
      </c>
      <c r="B116" s="433" t="s">
        <v>924</v>
      </c>
      <c r="C116" s="430" t="s">
        <v>1123</v>
      </c>
      <c r="D116" s="433" t="s">
        <v>1124</v>
      </c>
      <c r="E116" s="431">
        <v>43</v>
      </c>
      <c r="F116" s="431">
        <v>523</v>
      </c>
      <c r="G116" s="431">
        <v>15857</v>
      </c>
      <c r="H116" s="431">
        <v>24369</v>
      </c>
      <c r="I116" s="432">
        <v>0.65070376297755395</v>
      </c>
      <c r="J116" s="430" t="s">
        <v>927</v>
      </c>
      <c r="K116" s="430" t="s">
        <v>933</v>
      </c>
      <c r="L116" s="431" t="s">
        <v>929</v>
      </c>
    </row>
    <row r="117" spans="1:12" ht="10.199999999999999" hidden="1" customHeight="1" x14ac:dyDescent="0.2">
      <c r="A117" s="434" t="s">
        <v>1122</v>
      </c>
      <c r="B117" s="433" t="s">
        <v>930</v>
      </c>
      <c r="C117" s="430" t="s">
        <v>1125</v>
      </c>
      <c r="D117" s="433" t="s">
        <v>1124</v>
      </c>
      <c r="E117" s="431">
        <v>45</v>
      </c>
      <c r="F117" s="431">
        <v>102</v>
      </c>
      <c r="G117" s="431">
        <v>9939</v>
      </c>
      <c r="H117" s="431">
        <v>16218</v>
      </c>
      <c r="I117" s="432">
        <v>0.61283758786533504</v>
      </c>
      <c r="J117" s="430" t="s">
        <v>927</v>
      </c>
      <c r="K117" s="430" t="s">
        <v>933</v>
      </c>
      <c r="L117" s="431" t="s">
        <v>929</v>
      </c>
    </row>
    <row r="118" spans="1:12" ht="10.199999999999999" hidden="1" customHeight="1" x14ac:dyDescent="0.2">
      <c r="A118" s="434" t="s">
        <v>1122</v>
      </c>
      <c r="B118" s="433" t="s">
        <v>934</v>
      </c>
      <c r="C118" s="430" t="s">
        <v>1126</v>
      </c>
      <c r="D118" s="433" t="s">
        <v>1124</v>
      </c>
      <c r="E118" s="431">
        <v>25</v>
      </c>
      <c r="F118" s="431">
        <v>174</v>
      </c>
      <c r="G118" s="431">
        <v>10875</v>
      </c>
      <c r="H118" s="431">
        <v>13088</v>
      </c>
      <c r="I118" s="432">
        <v>0.83091381418092902</v>
      </c>
      <c r="J118" s="430" t="s">
        <v>927</v>
      </c>
      <c r="K118" s="430" t="s">
        <v>933</v>
      </c>
      <c r="L118" s="431" t="s">
        <v>929</v>
      </c>
    </row>
    <row r="119" spans="1:12" ht="10.199999999999999" hidden="1" customHeight="1" x14ac:dyDescent="0.2">
      <c r="A119" s="434" t="s">
        <v>1122</v>
      </c>
      <c r="B119" s="433" t="s">
        <v>937</v>
      </c>
      <c r="C119" s="430" t="s">
        <v>1127</v>
      </c>
      <c r="D119" s="433" t="s">
        <v>1124</v>
      </c>
      <c r="E119" s="431">
        <v>8</v>
      </c>
      <c r="F119" s="431">
        <v>71</v>
      </c>
      <c r="G119" s="431">
        <v>3481</v>
      </c>
      <c r="H119" s="431">
        <v>4321</v>
      </c>
      <c r="I119" s="432">
        <v>0.80560055542698406</v>
      </c>
      <c r="J119" s="430" t="s">
        <v>927</v>
      </c>
      <c r="K119" s="430" t="s">
        <v>933</v>
      </c>
      <c r="L119" s="431" t="s">
        <v>929</v>
      </c>
    </row>
    <row r="120" spans="1:12" ht="10.199999999999999" hidden="1" customHeight="1" x14ac:dyDescent="0.2">
      <c r="A120" s="434" t="s">
        <v>1122</v>
      </c>
      <c r="B120" s="433" t="s">
        <v>940</v>
      </c>
      <c r="C120" s="430" t="s">
        <v>1128</v>
      </c>
      <c r="D120" s="433" t="s">
        <v>1124</v>
      </c>
      <c r="E120" s="431">
        <v>2</v>
      </c>
      <c r="F120" s="431">
        <v>0</v>
      </c>
      <c r="G120" s="431">
        <v>1350</v>
      </c>
      <c r="H120" s="431">
        <v>1569</v>
      </c>
      <c r="I120" s="432">
        <v>0.86042065009560198</v>
      </c>
      <c r="J120" s="430" t="s">
        <v>927</v>
      </c>
      <c r="K120" s="430" t="s">
        <v>933</v>
      </c>
      <c r="L120" s="431" t="s">
        <v>929</v>
      </c>
    </row>
    <row r="121" spans="1:12" ht="10.199999999999999" hidden="1" customHeight="1" x14ac:dyDescent="0.2">
      <c r="A121" s="434" t="s">
        <v>1122</v>
      </c>
      <c r="B121" s="433" t="s">
        <v>942</v>
      </c>
      <c r="C121" s="430" t="s">
        <v>1129</v>
      </c>
      <c r="D121" s="433" t="s">
        <v>1130</v>
      </c>
      <c r="E121" s="431">
        <v>80</v>
      </c>
      <c r="F121" s="431">
        <v>1221</v>
      </c>
      <c r="G121" s="431">
        <v>32310</v>
      </c>
      <c r="H121" s="431">
        <v>53190</v>
      </c>
      <c r="I121" s="432">
        <v>0.60744500846023697</v>
      </c>
      <c r="J121" s="430" t="s">
        <v>927</v>
      </c>
      <c r="K121" s="430" t="s">
        <v>933</v>
      </c>
      <c r="L121" s="431" t="s">
        <v>929</v>
      </c>
    </row>
    <row r="122" spans="1:12" ht="10.199999999999999" hidden="1" customHeight="1" x14ac:dyDescent="0.2">
      <c r="A122" s="434" t="s">
        <v>1122</v>
      </c>
      <c r="B122" s="433" t="s">
        <v>945</v>
      </c>
      <c r="C122" s="430" t="s">
        <v>1131</v>
      </c>
      <c r="D122" s="433" t="s">
        <v>1132</v>
      </c>
      <c r="E122" s="431">
        <v>2</v>
      </c>
      <c r="F122" s="431">
        <v>0</v>
      </c>
      <c r="G122" s="431">
        <v>1350</v>
      </c>
      <c r="H122" s="431">
        <v>1569</v>
      </c>
      <c r="I122" s="432">
        <v>0.86042065009560198</v>
      </c>
      <c r="J122" s="430" t="s">
        <v>927</v>
      </c>
      <c r="K122" s="430" t="s">
        <v>933</v>
      </c>
      <c r="L122" s="431" t="s">
        <v>929</v>
      </c>
    </row>
    <row r="123" spans="1:12" ht="10.199999999999999" hidden="1" customHeight="1" x14ac:dyDescent="0.2">
      <c r="A123" s="434" t="s">
        <v>1122</v>
      </c>
      <c r="B123" s="433" t="s">
        <v>1133</v>
      </c>
      <c r="C123" s="430" t="s">
        <v>1134</v>
      </c>
      <c r="D123" s="433" t="s">
        <v>1135</v>
      </c>
      <c r="E123" s="431">
        <v>5</v>
      </c>
      <c r="F123" s="431">
        <v>1</v>
      </c>
      <c r="G123" s="431">
        <v>3177</v>
      </c>
      <c r="H123" s="431">
        <v>3600</v>
      </c>
      <c r="I123" s="432">
        <v>0.88249999999999995</v>
      </c>
      <c r="J123" s="430" t="s">
        <v>927</v>
      </c>
      <c r="K123" s="430" t="s">
        <v>933</v>
      </c>
      <c r="L123" s="431" t="s">
        <v>929</v>
      </c>
    </row>
    <row r="124" spans="1:12" ht="10.199999999999999" hidden="1" customHeight="1" x14ac:dyDescent="0.2">
      <c r="A124" s="434" t="s">
        <v>1122</v>
      </c>
      <c r="B124" s="433" t="s">
        <v>1136</v>
      </c>
      <c r="C124" s="430" t="s">
        <v>1137</v>
      </c>
      <c r="D124" s="433" t="s">
        <v>996</v>
      </c>
      <c r="E124" s="431">
        <v>10</v>
      </c>
      <c r="F124" s="431">
        <v>0</v>
      </c>
      <c r="G124" s="431">
        <v>0</v>
      </c>
      <c r="H124" s="431">
        <v>3200</v>
      </c>
      <c r="I124" s="432">
        <v>0</v>
      </c>
      <c r="J124" s="430" t="s">
        <v>927</v>
      </c>
      <c r="K124" s="430" t="s">
        <v>936</v>
      </c>
      <c r="L124" s="431" t="s">
        <v>929</v>
      </c>
    </row>
    <row r="125" spans="1:12" ht="10.199999999999999" hidden="1" customHeight="1" x14ac:dyDescent="0.2">
      <c r="A125" s="434" t="s">
        <v>1122</v>
      </c>
      <c r="B125" s="433" t="s">
        <v>948</v>
      </c>
      <c r="C125" s="430" t="s">
        <v>1138</v>
      </c>
      <c r="D125" s="433" t="s">
        <v>996</v>
      </c>
      <c r="E125" s="431">
        <v>6</v>
      </c>
      <c r="F125" s="431">
        <v>1</v>
      </c>
      <c r="G125" s="431">
        <v>2824</v>
      </c>
      <c r="H125" s="431">
        <v>3360</v>
      </c>
      <c r="I125" s="432">
        <v>0.84047619047619004</v>
      </c>
      <c r="J125" s="430" t="s">
        <v>927</v>
      </c>
      <c r="K125" s="430" t="s">
        <v>936</v>
      </c>
      <c r="L125" s="431" t="s">
        <v>929</v>
      </c>
    </row>
    <row r="126" spans="1:12" ht="10.199999999999999" hidden="1" customHeight="1" x14ac:dyDescent="0.2">
      <c r="A126" s="434" t="s">
        <v>1122</v>
      </c>
      <c r="B126" s="433" t="s">
        <v>1139</v>
      </c>
      <c r="C126" s="430" t="s">
        <v>1140</v>
      </c>
      <c r="D126" s="433" t="s">
        <v>996</v>
      </c>
      <c r="E126" s="431">
        <v>8</v>
      </c>
      <c r="F126" s="431">
        <v>22</v>
      </c>
      <c r="G126" s="431">
        <v>2088</v>
      </c>
      <c r="H126" s="431">
        <v>2880</v>
      </c>
      <c r="I126" s="432">
        <v>0.72499999999999998</v>
      </c>
      <c r="J126" s="430" t="s">
        <v>927</v>
      </c>
      <c r="K126" s="430" t="s">
        <v>936</v>
      </c>
      <c r="L126" s="431" t="s">
        <v>929</v>
      </c>
    </row>
    <row r="127" spans="1:12" ht="10.199999999999999" hidden="1" customHeight="1" x14ac:dyDescent="0.2">
      <c r="A127" s="434" t="s">
        <v>1122</v>
      </c>
      <c r="B127" s="433" t="s">
        <v>951</v>
      </c>
      <c r="C127" s="430" t="s">
        <v>1141</v>
      </c>
      <c r="D127" s="433" t="s">
        <v>1003</v>
      </c>
      <c r="E127" s="431">
        <v>9</v>
      </c>
      <c r="F127" s="431">
        <v>6</v>
      </c>
      <c r="G127" s="431">
        <v>3559</v>
      </c>
      <c r="H127" s="431">
        <v>4500</v>
      </c>
      <c r="I127" s="432">
        <v>0.79088888888888897</v>
      </c>
      <c r="J127" s="430" t="s">
        <v>927</v>
      </c>
      <c r="K127" s="430" t="s">
        <v>963</v>
      </c>
      <c r="L127" s="431" t="s">
        <v>929</v>
      </c>
    </row>
    <row r="128" spans="1:12" ht="10.199999999999999" hidden="1" customHeight="1" x14ac:dyDescent="0.2">
      <c r="A128" s="434" t="s">
        <v>1122</v>
      </c>
      <c r="B128" s="433" t="s">
        <v>954</v>
      </c>
      <c r="C128" s="430" t="s">
        <v>1142</v>
      </c>
      <c r="D128" s="433" t="s">
        <v>1006</v>
      </c>
      <c r="E128" s="431">
        <v>16</v>
      </c>
      <c r="F128" s="431">
        <v>123</v>
      </c>
      <c r="G128" s="431">
        <v>4914</v>
      </c>
      <c r="H128" s="431">
        <v>8235</v>
      </c>
      <c r="I128" s="432">
        <v>0.59672131147540997</v>
      </c>
      <c r="J128" s="430" t="s">
        <v>927</v>
      </c>
      <c r="K128" s="430" t="s">
        <v>963</v>
      </c>
      <c r="L128" s="431" t="s">
        <v>929</v>
      </c>
    </row>
    <row r="129" spans="1:12" ht="10.199999999999999" hidden="1" customHeight="1" x14ac:dyDescent="0.2">
      <c r="A129" s="434" t="s">
        <v>1122</v>
      </c>
      <c r="B129" s="433" t="s">
        <v>956</v>
      </c>
      <c r="C129" s="430" t="s">
        <v>1143</v>
      </c>
      <c r="D129" s="433" t="s">
        <v>1032</v>
      </c>
      <c r="E129" s="431">
        <v>9</v>
      </c>
      <c r="F129" s="431">
        <v>13</v>
      </c>
      <c r="G129" s="431">
        <v>611</v>
      </c>
      <c r="H129" s="431">
        <v>960</v>
      </c>
      <c r="I129" s="432">
        <v>0.63645833333333302</v>
      </c>
      <c r="J129" s="430" t="s">
        <v>927</v>
      </c>
      <c r="K129" s="430" t="s">
        <v>936</v>
      </c>
      <c r="L129" s="431" t="s">
        <v>929</v>
      </c>
    </row>
    <row r="130" spans="1:12" ht="10.199999999999999" hidden="1" customHeight="1" x14ac:dyDescent="0.2">
      <c r="A130" s="434" t="s">
        <v>1122</v>
      </c>
      <c r="B130" s="433" t="s">
        <v>959</v>
      </c>
      <c r="C130" s="430" t="s">
        <v>1144</v>
      </c>
      <c r="D130" s="433" t="s">
        <v>1032</v>
      </c>
      <c r="E130" s="431">
        <v>10</v>
      </c>
      <c r="F130" s="431">
        <v>8</v>
      </c>
      <c r="G130" s="431">
        <v>615</v>
      </c>
      <c r="H130" s="431">
        <v>960</v>
      </c>
      <c r="I130" s="432">
        <v>0.640625</v>
      </c>
      <c r="J130" s="430" t="s">
        <v>927</v>
      </c>
      <c r="K130" s="430" t="s">
        <v>936</v>
      </c>
      <c r="L130" s="431" t="s">
        <v>929</v>
      </c>
    </row>
    <row r="131" spans="1:12" ht="10.199999999999999" hidden="1" customHeight="1" x14ac:dyDescent="0.2">
      <c r="A131" s="434" t="s">
        <v>1122</v>
      </c>
      <c r="B131" s="433" t="s">
        <v>961</v>
      </c>
      <c r="C131" s="430" t="s">
        <v>1145</v>
      </c>
      <c r="D131" s="433" t="s">
        <v>1032</v>
      </c>
      <c r="E131" s="431">
        <v>1</v>
      </c>
      <c r="F131" s="431">
        <v>0</v>
      </c>
      <c r="G131" s="431">
        <v>0</v>
      </c>
      <c r="H131" s="431">
        <v>960</v>
      </c>
      <c r="I131" s="432">
        <v>0</v>
      </c>
      <c r="J131" s="430" t="s">
        <v>927</v>
      </c>
      <c r="K131" s="430" t="s">
        <v>936</v>
      </c>
      <c r="L131" s="431" t="s">
        <v>929</v>
      </c>
    </row>
    <row r="132" spans="1:12" ht="10.199999999999999" hidden="1" customHeight="1" x14ac:dyDescent="0.2">
      <c r="A132" s="434" t="s">
        <v>1122</v>
      </c>
      <c r="B132" s="433" t="s">
        <v>964</v>
      </c>
      <c r="C132" s="430" t="s">
        <v>1146</v>
      </c>
      <c r="D132" s="433" t="s">
        <v>1032</v>
      </c>
      <c r="E132" s="431">
        <v>1</v>
      </c>
      <c r="F132" s="431">
        <v>0</v>
      </c>
      <c r="G132" s="431">
        <v>0</v>
      </c>
      <c r="H132" s="431">
        <v>960</v>
      </c>
      <c r="I132" s="432">
        <v>0</v>
      </c>
      <c r="J132" s="430" t="s">
        <v>927</v>
      </c>
      <c r="K132" s="430" t="s">
        <v>936</v>
      </c>
      <c r="L132" s="431" t="s">
        <v>929</v>
      </c>
    </row>
    <row r="133" spans="1:12" ht="10.199999999999999" hidden="1" customHeight="1" x14ac:dyDescent="0.2">
      <c r="A133" s="434" t="s">
        <v>1122</v>
      </c>
      <c r="B133" s="433" t="s">
        <v>967</v>
      </c>
      <c r="C133" s="430" t="s">
        <v>1147</v>
      </c>
      <c r="D133" s="433" t="s">
        <v>1032</v>
      </c>
      <c r="E133" s="431">
        <v>8</v>
      </c>
      <c r="F133" s="431">
        <v>0</v>
      </c>
      <c r="G133" s="431">
        <v>0</v>
      </c>
      <c r="H133" s="431">
        <v>960</v>
      </c>
      <c r="I133" s="432">
        <v>0</v>
      </c>
      <c r="J133" s="430" t="s">
        <v>927</v>
      </c>
      <c r="K133" s="430" t="s">
        <v>936</v>
      </c>
      <c r="L133" s="431" t="s">
        <v>929</v>
      </c>
    </row>
    <row r="134" spans="1:12" ht="10.199999999999999" hidden="1" customHeight="1" x14ac:dyDescent="0.2">
      <c r="A134" s="434" t="s">
        <v>1122</v>
      </c>
      <c r="B134" s="433" t="s">
        <v>969</v>
      </c>
      <c r="C134" s="430" t="s">
        <v>1148</v>
      </c>
      <c r="D134" s="433" t="s">
        <v>1032</v>
      </c>
      <c r="E134" s="431">
        <v>1</v>
      </c>
      <c r="F134" s="431">
        <v>0</v>
      </c>
      <c r="G134" s="431">
        <v>0</v>
      </c>
      <c r="H134" s="431">
        <v>960</v>
      </c>
      <c r="I134" s="432">
        <v>0</v>
      </c>
      <c r="J134" s="430" t="s">
        <v>927</v>
      </c>
      <c r="K134" s="430" t="s">
        <v>936</v>
      </c>
      <c r="L134" s="431" t="s">
        <v>929</v>
      </c>
    </row>
    <row r="135" spans="1:12" ht="10.199999999999999" hidden="1" customHeight="1" x14ac:dyDescent="0.2">
      <c r="A135" s="434" t="s">
        <v>1122</v>
      </c>
      <c r="B135" s="433" t="s">
        <v>972</v>
      </c>
      <c r="C135" s="430" t="s">
        <v>1149</v>
      </c>
      <c r="D135" s="433" t="s">
        <v>1032</v>
      </c>
      <c r="E135" s="431">
        <v>1</v>
      </c>
      <c r="F135" s="431">
        <v>0</v>
      </c>
      <c r="G135" s="431">
        <v>0</v>
      </c>
      <c r="H135" s="431">
        <v>960</v>
      </c>
      <c r="I135" s="432">
        <v>0</v>
      </c>
      <c r="J135" s="430" t="s">
        <v>927</v>
      </c>
      <c r="K135" s="430" t="s">
        <v>936</v>
      </c>
      <c r="L135" s="431" t="s">
        <v>929</v>
      </c>
    </row>
    <row r="136" spans="1:12" ht="10.199999999999999" hidden="1" customHeight="1" x14ac:dyDescent="0.2">
      <c r="A136" s="434" t="s">
        <v>1122</v>
      </c>
      <c r="B136" s="433" t="s">
        <v>975</v>
      </c>
      <c r="C136" s="430" t="s">
        <v>1150</v>
      </c>
      <c r="D136" s="433" t="s">
        <v>1032</v>
      </c>
      <c r="E136" s="431">
        <v>1</v>
      </c>
      <c r="F136" s="431">
        <v>0</v>
      </c>
      <c r="G136" s="431">
        <v>0</v>
      </c>
      <c r="H136" s="431">
        <v>960</v>
      </c>
      <c r="I136" s="432">
        <v>0</v>
      </c>
      <c r="J136" s="430" t="s">
        <v>927</v>
      </c>
      <c r="K136" s="430" t="s">
        <v>936</v>
      </c>
      <c r="L136" s="431" t="s">
        <v>929</v>
      </c>
    </row>
    <row r="137" spans="1:12" ht="10.199999999999999" hidden="1" customHeight="1" x14ac:dyDescent="0.2">
      <c r="A137" s="434" t="s">
        <v>1122</v>
      </c>
      <c r="B137" s="433" t="s">
        <v>977</v>
      </c>
      <c r="C137" s="430" t="s">
        <v>1151</v>
      </c>
      <c r="D137" s="433" t="s">
        <v>1032</v>
      </c>
      <c r="E137" s="431">
        <v>1</v>
      </c>
      <c r="F137" s="431">
        <v>0</v>
      </c>
      <c r="G137" s="431">
        <v>0</v>
      </c>
      <c r="H137" s="431">
        <v>960</v>
      </c>
      <c r="I137" s="432">
        <v>0</v>
      </c>
      <c r="J137" s="430" t="s">
        <v>927</v>
      </c>
      <c r="K137" s="430" t="s">
        <v>936</v>
      </c>
      <c r="L137" s="431" t="s">
        <v>929</v>
      </c>
    </row>
    <row r="138" spans="1:12" ht="10.199999999999999" hidden="1" customHeight="1" x14ac:dyDescent="0.2">
      <c r="A138" s="434" t="s">
        <v>1122</v>
      </c>
      <c r="B138" s="433" t="s">
        <v>979</v>
      </c>
      <c r="C138" s="430" t="s">
        <v>1152</v>
      </c>
      <c r="D138" s="433" t="s">
        <v>1032</v>
      </c>
      <c r="E138" s="431">
        <v>6</v>
      </c>
      <c r="F138" s="431">
        <v>36</v>
      </c>
      <c r="G138" s="431">
        <v>1698</v>
      </c>
      <c r="H138" s="431">
        <v>1920</v>
      </c>
      <c r="I138" s="432">
        <v>0.88437500000000002</v>
      </c>
      <c r="J138" s="430" t="s">
        <v>927</v>
      </c>
      <c r="K138" s="430" t="s">
        <v>936</v>
      </c>
      <c r="L138" s="431" t="s">
        <v>929</v>
      </c>
    </row>
    <row r="139" spans="1:12" ht="10.199999999999999" hidden="1" customHeight="1" x14ac:dyDescent="0.2">
      <c r="A139" s="434" t="s">
        <v>1122</v>
      </c>
      <c r="B139" s="433" t="s">
        <v>1153</v>
      </c>
      <c r="C139" s="430" t="s">
        <v>1154</v>
      </c>
      <c r="D139" s="433" t="s">
        <v>1032</v>
      </c>
      <c r="E139" s="431">
        <v>1</v>
      </c>
      <c r="F139" s="431">
        <v>0</v>
      </c>
      <c r="G139" s="431">
        <v>0</v>
      </c>
      <c r="H139" s="431">
        <v>960</v>
      </c>
      <c r="I139" s="432">
        <v>0</v>
      </c>
      <c r="J139" s="430" t="s">
        <v>927</v>
      </c>
      <c r="K139" s="430" t="s">
        <v>936</v>
      </c>
      <c r="L139" s="431" t="s">
        <v>929</v>
      </c>
    </row>
    <row r="140" spans="1:12" ht="10.199999999999999" hidden="1" customHeight="1" x14ac:dyDescent="0.2">
      <c r="A140" s="434" t="s">
        <v>1122</v>
      </c>
      <c r="B140" s="433" t="s">
        <v>981</v>
      </c>
      <c r="C140" s="430" t="s">
        <v>1155</v>
      </c>
      <c r="D140" s="433" t="s">
        <v>1032</v>
      </c>
      <c r="E140" s="431">
        <v>3</v>
      </c>
      <c r="F140" s="431">
        <v>0</v>
      </c>
      <c r="G140" s="431">
        <v>0</v>
      </c>
      <c r="H140" s="431">
        <v>960</v>
      </c>
      <c r="I140" s="432">
        <v>0</v>
      </c>
      <c r="J140" s="430" t="s">
        <v>927</v>
      </c>
      <c r="K140" s="430" t="s">
        <v>936</v>
      </c>
      <c r="L140" s="431" t="s">
        <v>929</v>
      </c>
    </row>
    <row r="141" spans="1:12" ht="10.199999999999999" hidden="1" customHeight="1" x14ac:dyDescent="0.2">
      <c r="A141" s="434" t="s">
        <v>1122</v>
      </c>
      <c r="B141" s="433" t="s">
        <v>1156</v>
      </c>
      <c r="C141" s="430" t="s">
        <v>1157</v>
      </c>
      <c r="D141" s="433" t="s">
        <v>1032</v>
      </c>
      <c r="E141" s="431">
        <v>8</v>
      </c>
      <c r="F141" s="431">
        <v>8</v>
      </c>
      <c r="G141" s="431">
        <v>571</v>
      </c>
      <c r="H141" s="431">
        <v>960</v>
      </c>
      <c r="I141" s="432">
        <v>0.59479166666666705</v>
      </c>
      <c r="J141" s="430" t="s">
        <v>927</v>
      </c>
      <c r="K141" s="430" t="s">
        <v>936</v>
      </c>
      <c r="L141" s="431" t="s">
        <v>929</v>
      </c>
    </row>
    <row r="142" spans="1:12" ht="10.199999999999999" hidden="1" customHeight="1" x14ac:dyDescent="0.2">
      <c r="A142" s="434" t="s">
        <v>1122</v>
      </c>
      <c r="B142" s="433" t="s">
        <v>1158</v>
      </c>
      <c r="C142" s="430" t="s">
        <v>1159</v>
      </c>
      <c r="D142" s="433" t="s">
        <v>1032</v>
      </c>
      <c r="E142" s="431">
        <v>6</v>
      </c>
      <c r="F142" s="431">
        <v>0</v>
      </c>
      <c r="G142" s="431">
        <v>0</v>
      </c>
      <c r="H142" s="431">
        <v>960</v>
      </c>
      <c r="I142" s="432">
        <v>0</v>
      </c>
      <c r="J142" s="430" t="s">
        <v>927</v>
      </c>
      <c r="K142" s="430" t="s">
        <v>936</v>
      </c>
      <c r="L142" s="431" t="s">
        <v>929</v>
      </c>
    </row>
    <row r="143" spans="1:12" ht="10.199999999999999" hidden="1" customHeight="1" x14ac:dyDescent="0.2">
      <c r="A143" s="434" t="s">
        <v>1122</v>
      </c>
      <c r="B143" s="433" t="s">
        <v>1160</v>
      </c>
      <c r="C143" s="430" t="s">
        <v>1161</v>
      </c>
      <c r="D143" s="433" t="s">
        <v>1032</v>
      </c>
      <c r="E143" s="431">
        <v>1</v>
      </c>
      <c r="F143" s="431">
        <v>50</v>
      </c>
      <c r="G143" s="431">
        <v>1835</v>
      </c>
      <c r="H143" s="431">
        <v>1920</v>
      </c>
      <c r="I143" s="432">
        <v>0.95572916666666596</v>
      </c>
      <c r="J143" s="430" t="s">
        <v>927</v>
      </c>
      <c r="K143" s="430" t="s">
        <v>936</v>
      </c>
      <c r="L143" s="431" t="s">
        <v>929</v>
      </c>
    </row>
    <row r="144" spans="1:12" ht="10.199999999999999" hidden="1" customHeight="1" x14ac:dyDescent="0.2">
      <c r="A144" s="434" t="s">
        <v>1122</v>
      </c>
      <c r="B144" s="433" t="s">
        <v>984</v>
      </c>
      <c r="C144" s="430" t="s">
        <v>1162</v>
      </c>
      <c r="D144" s="433" t="s">
        <v>1032</v>
      </c>
      <c r="E144" s="431">
        <v>4</v>
      </c>
      <c r="F144" s="431">
        <v>0</v>
      </c>
      <c r="G144" s="431">
        <v>0</v>
      </c>
      <c r="H144" s="431">
        <v>960</v>
      </c>
      <c r="I144" s="432">
        <v>0</v>
      </c>
      <c r="J144" s="430" t="s">
        <v>927</v>
      </c>
      <c r="K144" s="430" t="s">
        <v>936</v>
      </c>
      <c r="L144" s="431" t="s">
        <v>929</v>
      </c>
    </row>
    <row r="145" spans="1:12" ht="10.199999999999999" hidden="1" customHeight="1" x14ac:dyDescent="0.2">
      <c r="A145" s="434" t="s">
        <v>1122</v>
      </c>
      <c r="B145" s="433" t="s">
        <v>987</v>
      </c>
      <c r="C145" s="430" t="s">
        <v>1163</v>
      </c>
      <c r="D145" s="433" t="s">
        <v>1032</v>
      </c>
      <c r="E145" s="431">
        <v>1</v>
      </c>
      <c r="F145" s="431">
        <v>0</v>
      </c>
      <c r="G145" s="431">
        <v>0</v>
      </c>
      <c r="H145" s="431">
        <v>960</v>
      </c>
      <c r="I145" s="432">
        <v>0</v>
      </c>
      <c r="J145" s="430" t="s">
        <v>927</v>
      </c>
      <c r="K145" s="430" t="s">
        <v>936</v>
      </c>
      <c r="L145" s="431" t="s">
        <v>929</v>
      </c>
    </row>
    <row r="146" spans="1:12" ht="10.199999999999999" hidden="1" customHeight="1" x14ac:dyDescent="0.2">
      <c r="A146" s="434" t="s">
        <v>1122</v>
      </c>
      <c r="B146" s="433" t="s">
        <v>1164</v>
      </c>
      <c r="C146" s="430" t="s">
        <v>1165</v>
      </c>
      <c r="D146" s="433" t="s">
        <v>1032</v>
      </c>
      <c r="E146" s="431">
        <v>1</v>
      </c>
      <c r="F146" s="431">
        <v>0</v>
      </c>
      <c r="G146" s="431">
        <v>60</v>
      </c>
      <c r="H146" s="431">
        <v>480</v>
      </c>
      <c r="I146" s="432">
        <v>0.125</v>
      </c>
      <c r="J146" s="430" t="s">
        <v>927</v>
      </c>
      <c r="K146" s="430" t="s">
        <v>936</v>
      </c>
      <c r="L146" s="431" t="s">
        <v>929</v>
      </c>
    </row>
    <row r="147" spans="1:12" ht="10.199999999999999" hidden="1" customHeight="1" x14ac:dyDescent="0.2">
      <c r="A147" s="434" t="s">
        <v>1122</v>
      </c>
      <c r="B147" s="433" t="s">
        <v>1166</v>
      </c>
      <c r="C147" s="430" t="s">
        <v>1167</v>
      </c>
      <c r="D147" s="433" t="s">
        <v>1032</v>
      </c>
      <c r="E147" s="431">
        <v>1</v>
      </c>
      <c r="F147" s="431">
        <v>0</v>
      </c>
      <c r="G147" s="431">
        <v>57</v>
      </c>
      <c r="H147" s="431">
        <v>480</v>
      </c>
      <c r="I147" s="432">
        <v>0.11874999999999999</v>
      </c>
      <c r="J147" s="430" t="s">
        <v>927</v>
      </c>
      <c r="K147" s="430" t="s">
        <v>936</v>
      </c>
      <c r="L147" s="431" t="s">
        <v>929</v>
      </c>
    </row>
    <row r="148" spans="1:12" ht="10.199999999999999" hidden="1" customHeight="1" x14ac:dyDescent="0.2">
      <c r="A148" s="434" t="s">
        <v>1122</v>
      </c>
      <c r="B148" s="433" t="s">
        <v>1168</v>
      </c>
      <c r="C148" s="430" t="s">
        <v>1169</v>
      </c>
      <c r="D148" s="433" t="s">
        <v>1025</v>
      </c>
      <c r="E148" s="431">
        <v>43</v>
      </c>
      <c r="F148" s="431">
        <v>120</v>
      </c>
      <c r="G148" s="431">
        <v>6111</v>
      </c>
      <c r="H148" s="431">
        <v>13500</v>
      </c>
      <c r="I148" s="432">
        <v>0.45266666666666699</v>
      </c>
      <c r="J148" s="430" t="s">
        <v>927</v>
      </c>
      <c r="K148" s="430" t="s">
        <v>936</v>
      </c>
      <c r="L148" s="431" t="s">
        <v>929</v>
      </c>
    </row>
    <row r="149" spans="1:12" ht="10.199999999999999" hidden="1" customHeight="1" x14ac:dyDescent="0.2">
      <c r="A149" s="434" t="s">
        <v>1122</v>
      </c>
      <c r="B149" s="433" t="s">
        <v>1170</v>
      </c>
      <c r="C149" s="430" t="s">
        <v>1171</v>
      </c>
      <c r="D149" s="433" t="s">
        <v>1025</v>
      </c>
      <c r="E149" s="431">
        <v>8</v>
      </c>
      <c r="F149" s="431">
        <v>110</v>
      </c>
      <c r="G149" s="431">
        <v>4360</v>
      </c>
      <c r="H149" s="431">
        <v>9000</v>
      </c>
      <c r="I149" s="432">
        <v>0.48444444444444401</v>
      </c>
      <c r="J149" s="430" t="s">
        <v>927</v>
      </c>
      <c r="K149" s="430" t="s">
        <v>936</v>
      </c>
      <c r="L149" s="431" t="s">
        <v>929</v>
      </c>
    </row>
    <row r="150" spans="1:12" ht="10.199999999999999" hidden="1" customHeight="1" x14ac:dyDescent="0.2">
      <c r="A150" s="434" t="s">
        <v>1122</v>
      </c>
      <c r="B150" s="433" t="s">
        <v>1172</v>
      </c>
      <c r="C150" s="430" t="s">
        <v>1173</v>
      </c>
      <c r="D150" s="433" t="s">
        <v>1025</v>
      </c>
      <c r="E150" s="431">
        <v>16</v>
      </c>
      <c r="F150" s="431">
        <v>64</v>
      </c>
      <c r="G150" s="431">
        <v>4265</v>
      </c>
      <c r="H150" s="431">
        <v>9000</v>
      </c>
      <c r="I150" s="432">
        <v>0.47388888888888903</v>
      </c>
      <c r="J150" s="430" t="s">
        <v>927</v>
      </c>
      <c r="K150" s="430" t="s">
        <v>936</v>
      </c>
      <c r="L150" s="431" t="s">
        <v>929</v>
      </c>
    </row>
    <row r="151" spans="1:12" ht="10.199999999999999" hidden="1" customHeight="1" x14ac:dyDescent="0.2">
      <c r="A151" s="434" t="s">
        <v>1122</v>
      </c>
      <c r="B151" s="433" t="s">
        <v>1174</v>
      </c>
      <c r="C151" s="430" t="s">
        <v>1175</v>
      </c>
      <c r="D151" s="433" t="s">
        <v>1055</v>
      </c>
      <c r="E151" s="431">
        <v>1</v>
      </c>
      <c r="F151" s="431">
        <v>0</v>
      </c>
      <c r="G151" s="431">
        <v>0</v>
      </c>
      <c r="H151" s="431">
        <v>960</v>
      </c>
      <c r="I151" s="432">
        <v>0</v>
      </c>
      <c r="J151" s="430" t="s">
        <v>927</v>
      </c>
      <c r="K151" s="430" t="s">
        <v>936</v>
      </c>
      <c r="L151" s="431" t="s">
        <v>929</v>
      </c>
    </row>
    <row r="152" spans="1:12" ht="10.199999999999999" hidden="1" customHeight="1" x14ac:dyDescent="0.2">
      <c r="A152" s="434" t="s">
        <v>1122</v>
      </c>
      <c r="B152" s="433" t="s">
        <v>1176</v>
      </c>
      <c r="C152" s="430" t="s">
        <v>1177</v>
      </c>
      <c r="D152" s="433" t="s">
        <v>1055</v>
      </c>
      <c r="E152" s="431">
        <v>9</v>
      </c>
      <c r="F152" s="431">
        <v>5</v>
      </c>
      <c r="G152" s="431">
        <v>900</v>
      </c>
      <c r="H152" s="431">
        <v>960</v>
      </c>
      <c r="I152" s="432">
        <v>0.9375</v>
      </c>
      <c r="J152" s="430" t="s">
        <v>927</v>
      </c>
      <c r="K152" s="430" t="s">
        <v>936</v>
      </c>
      <c r="L152" s="431" t="s">
        <v>929</v>
      </c>
    </row>
    <row r="153" spans="1:12" ht="10.199999999999999" hidden="1" customHeight="1" x14ac:dyDescent="0.2">
      <c r="A153" s="434" t="s">
        <v>1122</v>
      </c>
      <c r="B153" s="433" t="s">
        <v>1178</v>
      </c>
      <c r="C153" s="430" t="s">
        <v>1179</v>
      </c>
      <c r="D153" s="433" t="s">
        <v>1055</v>
      </c>
      <c r="E153" s="431">
        <v>1</v>
      </c>
      <c r="F153" s="431">
        <v>0</v>
      </c>
      <c r="G153" s="431">
        <v>0</v>
      </c>
      <c r="H153" s="431">
        <v>960</v>
      </c>
      <c r="I153" s="432">
        <v>0</v>
      </c>
      <c r="J153" s="430" t="s">
        <v>927</v>
      </c>
      <c r="K153" s="430" t="s">
        <v>936</v>
      </c>
      <c r="L153" s="431" t="s">
        <v>929</v>
      </c>
    </row>
    <row r="154" spans="1:12" ht="10.199999999999999" hidden="1" customHeight="1" x14ac:dyDescent="0.2">
      <c r="A154" s="434" t="s">
        <v>1122</v>
      </c>
      <c r="B154" s="433" t="s">
        <v>1180</v>
      </c>
      <c r="C154" s="430" t="s">
        <v>1181</v>
      </c>
      <c r="D154" s="433" t="s">
        <v>1055</v>
      </c>
      <c r="E154" s="431">
        <v>1</v>
      </c>
      <c r="F154" s="431">
        <v>0</v>
      </c>
      <c r="G154" s="431">
        <v>0</v>
      </c>
      <c r="H154" s="431">
        <v>960</v>
      </c>
      <c r="I154" s="432">
        <v>0</v>
      </c>
      <c r="J154" s="430" t="s">
        <v>927</v>
      </c>
      <c r="K154" s="430" t="s">
        <v>936</v>
      </c>
      <c r="L154" s="431" t="s">
        <v>929</v>
      </c>
    </row>
    <row r="155" spans="1:12" ht="10.199999999999999" hidden="1" customHeight="1" x14ac:dyDescent="0.2">
      <c r="A155" s="434" t="s">
        <v>1122</v>
      </c>
      <c r="B155" s="433" t="s">
        <v>1182</v>
      </c>
      <c r="C155" s="430" t="s">
        <v>1183</v>
      </c>
      <c r="D155" s="433" t="s">
        <v>1184</v>
      </c>
      <c r="E155" s="431">
        <v>72</v>
      </c>
      <c r="F155" s="431">
        <v>678</v>
      </c>
      <c r="G155" s="431">
        <v>24087</v>
      </c>
      <c r="H155" s="431">
        <v>37734</v>
      </c>
      <c r="I155" s="432">
        <v>0.63833677850214698</v>
      </c>
      <c r="J155" s="430" t="s">
        <v>927</v>
      </c>
      <c r="K155" s="430" t="s">
        <v>933</v>
      </c>
      <c r="L155" s="431" t="s">
        <v>929</v>
      </c>
    </row>
    <row r="156" spans="1:12" ht="10.199999999999999" hidden="1" customHeight="1" x14ac:dyDescent="0.2">
      <c r="A156" s="434" t="s">
        <v>1122</v>
      </c>
      <c r="B156" s="433" t="s">
        <v>1185</v>
      </c>
      <c r="C156" s="430" t="s">
        <v>1186</v>
      </c>
      <c r="D156" s="433" t="s">
        <v>1058</v>
      </c>
      <c r="E156" s="431">
        <v>8</v>
      </c>
      <c r="F156" s="431">
        <v>10</v>
      </c>
      <c r="G156" s="431">
        <v>1773</v>
      </c>
      <c r="H156" s="431">
        <v>2430</v>
      </c>
      <c r="I156" s="432">
        <v>0.72962962962962996</v>
      </c>
      <c r="J156" s="430" t="s">
        <v>927</v>
      </c>
      <c r="K156" s="430" t="s">
        <v>963</v>
      </c>
      <c r="L156" s="431" t="s">
        <v>929</v>
      </c>
    </row>
    <row r="157" spans="1:12" ht="10.199999999999999" hidden="1" customHeight="1" x14ac:dyDescent="0.2">
      <c r="A157" s="434" t="s">
        <v>1122</v>
      </c>
      <c r="B157" s="433" t="s">
        <v>1187</v>
      </c>
      <c r="C157" s="430" t="s">
        <v>1188</v>
      </c>
      <c r="D157" s="433" t="s">
        <v>1124</v>
      </c>
      <c r="E157" s="431">
        <v>2</v>
      </c>
      <c r="F157" s="431">
        <v>0</v>
      </c>
      <c r="G157" s="431">
        <v>398</v>
      </c>
      <c r="H157" s="431">
        <v>485</v>
      </c>
      <c r="I157" s="432">
        <v>0.82061855670103101</v>
      </c>
      <c r="J157" s="430" t="s">
        <v>927</v>
      </c>
      <c r="K157" s="430" t="s">
        <v>933</v>
      </c>
      <c r="L157" s="431" t="s">
        <v>929</v>
      </c>
    </row>
    <row r="158" spans="1:12" ht="10.199999999999999" hidden="1" customHeight="1" x14ac:dyDescent="0.2">
      <c r="A158" s="434" t="s">
        <v>1122</v>
      </c>
      <c r="B158" s="433" t="s">
        <v>1189</v>
      </c>
      <c r="C158" s="430" t="s">
        <v>1190</v>
      </c>
      <c r="D158" s="433" t="s">
        <v>1025</v>
      </c>
      <c r="E158" s="431">
        <v>1</v>
      </c>
      <c r="F158" s="431">
        <v>0</v>
      </c>
      <c r="G158" s="431">
        <v>95</v>
      </c>
      <c r="H158" s="431">
        <v>120</v>
      </c>
      <c r="I158" s="432">
        <v>0.79166666666666596</v>
      </c>
      <c r="J158" s="430" t="s">
        <v>927</v>
      </c>
      <c r="K158" s="430" t="s">
        <v>933</v>
      </c>
      <c r="L158" s="431" t="s">
        <v>929</v>
      </c>
    </row>
    <row r="159" spans="1:12" ht="10.199999999999999" hidden="1" customHeight="1" x14ac:dyDescent="0.2">
      <c r="A159" s="434" t="s">
        <v>1122</v>
      </c>
      <c r="B159" s="433" t="s">
        <v>1191</v>
      </c>
      <c r="C159" s="430" t="s">
        <v>1192</v>
      </c>
      <c r="D159" s="433" t="s">
        <v>1025</v>
      </c>
      <c r="E159" s="431">
        <v>1</v>
      </c>
      <c r="F159" s="431">
        <v>0</v>
      </c>
      <c r="G159" s="431">
        <v>254</v>
      </c>
      <c r="H159" s="431">
        <v>296</v>
      </c>
      <c r="I159" s="432">
        <v>0.858108108108108</v>
      </c>
      <c r="J159" s="430" t="s">
        <v>927</v>
      </c>
      <c r="K159" s="430" t="s">
        <v>933</v>
      </c>
      <c r="L159" s="431" t="s">
        <v>929</v>
      </c>
    </row>
    <row r="160" spans="1:12" ht="10.199999999999999" hidden="1" customHeight="1" x14ac:dyDescent="0.2">
      <c r="A160" s="434" t="s">
        <v>1122</v>
      </c>
      <c r="B160" s="433" t="s">
        <v>1193</v>
      </c>
      <c r="C160" s="430" t="s">
        <v>1029</v>
      </c>
      <c r="D160" s="433" t="s">
        <v>1107</v>
      </c>
      <c r="E160" s="431">
        <v>1</v>
      </c>
      <c r="F160" s="431">
        <v>0</v>
      </c>
      <c r="G160" s="431">
        <v>172</v>
      </c>
      <c r="H160" s="431">
        <v>200</v>
      </c>
      <c r="I160" s="432">
        <v>0.86</v>
      </c>
      <c r="J160" s="430" t="s">
        <v>927</v>
      </c>
      <c r="K160" s="430" t="s">
        <v>933</v>
      </c>
      <c r="L160" s="431" t="s">
        <v>929</v>
      </c>
    </row>
    <row r="161" spans="1:12" ht="10.199999999999999" hidden="1" customHeight="1" x14ac:dyDescent="0.2">
      <c r="A161" s="434" t="s">
        <v>1122</v>
      </c>
      <c r="B161" s="433" t="s">
        <v>1194</v>
      </c>
      <c r="C161" s="430" t="s">
        <v>1195</v>
      </c>
      <c r="D161" s="433" t="s">
        <v>1196</v>
      </c>
      <c r="E161" s="431">
        <v>39</v>
      </c>
      <c r="F161" s="431">
        <v>146</v>
      </c>
      <c r="G161" s="431">
        <v>11945</v>
      </c>
      <c r="H161" s="431">
        <v>15434</v>
      </c>
      <c r="I161" s="432">
        <v>0.77394065051185701</v>
      </c>
      <c r="J161" s="430" t="s">
        <v>927</v>
      </c>
      <c r="K161" s="430" t="s">
        <v>933</v>
      </c>
      <c r="L161" s="431" t="s">
        <v>929</v>
      </c>
    </row>
    <row r="162" spans="1:12" ht="10.199999999999999" hidden="1" customHeight="1" x14ac:dyDescent="0.2">
      <c r="A162" s="434" t="s">
        <v>1122</v>
      </c>
      <c r="B162" s="433" t="s">
        <v>1452</v>
      </c>
      <c r="C162" s="430" t="s">
        <v>1451</v>
      </c>
      <c r="D162" s="433" t="s">
        <v>1404</v>
      </c>
      <c r="E162" s="431">
        <v>1</v>
      </c>
      <c r="F162" s="431">
        <v>0</v>
      </c>
      <c r="G162" s="431">
        <v>312</v>
      </c>
      <c r="H162" s="431">
        <v>320</v>
      </c>
      <c r="I162" s="432">
        <v>0.97499999999999998</v>
      </c>
      <c r="J162" s="430" t="s">
        <v>927</v>
      </c>
      <c r="K162" s="430" t="s">
        <v>963</v>
      </c>
      <c r="L162" s="431" t="s">
        <v>1244</v>
      </c>
    </row>
    <row r="163" spans="1:12" ht="10.199999999999999" hidden="1" customHeight="1" x14ac:dyDescent="0.2">
      <c r="A163" s="434" t="s">
        <v>1122</v>
      </c>
      <c r="B163" s="433" t="s">
        <v>1450</v>
      </c>
      <c r="C163" s="430" t="s">
        <v>1449</v>
      </c>
      <c r="D163" s="433" t="s">
        <v>1404</v>
      </c>
      <c r="E163" s="431">
        <v>1</v>
      </c>
      <c r="F163" s="431">
        <v>0</v>
      </c>
      <c r="G163" s="431">
        <v>312</v>
      </c>
      <c r="H163" s="431">
        <v>320</v>
      </c>
      <c r="I163" s="432">
        <v>0.97499999999999998</v>
      </c>
      <c r="J163" s="430" t="s">
        <v>927</v>
      </c>
      <c r="K163" s="430" t="s">
        <v>963</v>
      </c>
      <c r="L163" s="431" t="s">
        <v>1244</v>
      </c>
    </row>
    <row r="164" spans="1:12" ht="10.199999999999999" hidden="1" customHeight="1" x14ac:dyDescent="0.2">
      <c r="A164" s="434" t="s">
        <v>1122</v>
      </c>
      <c r="B164" s="433" t="s">
        <v>1448</v>
      </c>
      <c r="C164" s="430" t="s">
        <v>1447</v>
      </c>
      <c r="D164" s="433" t="s">
        <v>1404</v>
      </c>
      <c r="E164" s="431">
        <v>1</v>
      </c>
      <c r="F164" s="431">
        <v>0</v>
      </c>
      <c r="G164" s="431">
        <v>312</v>
      </c>
      <c r="H164" s="431">
        <v>320</v>
      </c>
      <c r="I164" s="432">
        <v>0.97499999999999998</v>
      </c>
      <c r="J164" s="430" t="s">
        <v>927</v>
      </c>
      <c r="K164" s="430" t="s">
        <v>963</v>
      </c>
      <c r="L164" s="431" t="s">
        <v>1244</v>
      </c>
    </row>
    <row r="165" spans="1:12" ht="10.199999999999999" hidden="1" customHeight="1" x14ac:dyDescent="0.2">
      <c r="A165" s="434" t="s">
        <v>1122</v>
      </c>
      <c r="B165" s="433" t="s">
        <v>1446</v>
      </c>
      <c r="C165" s="430" t="s">
        <v>1445</v>
      </c>
      <c r="D165" s="433" t="s">
        <v>1404</v>
      </c>
      <c r="E165" s="431">
        <v>1</v>
      </c>
      <c r="F165" s="431">
        <v>0</v>
      </c>
      <c r="G165" s="431">
        <v>312</v>
      </c>
      <c r="H165" s="431">
        <v>320</v>
      </c>
      <c r="I165" s="432">
        <v>0.97499999999999998</v>
      </c>
      <c r="J165" s="430" t="s">
        <v>927</v>
      </c>
      <c r="K165" s="430" t="s">
        <v>963</v>
      </c>
      <c r="L165" s="431" t="s">
        <v>1244</v>
      </c>
    </row>
    <row r="166" spans="1:12" ht="10.199999999999999" hidden="1" customHeight="1" x14ac:dyDescent="0.2">
      <c r="A166" s="434" t="s">
        <v>1122</v>
      </c>
      <c r="B166" s="433" t="s">
        <v>1444</v>
      </c>
      <c r="C166" s="430" t="s">
        <v>1443</v>
      </c>
      <c r="D166" s="433" t="s">
        <v>1404</v>
      </c>
      <c r="E166" s="431">
        <v>1</v>
      </c>
      <c r="F166" s="431">
        <v>0</v>
      </c>
      <c r="G166" s="431">
        <v>312</v>
      </c>
      <c r="H166" s="431">
        <v>320</v>
      </c>
      <c r="I166" s="432">
        <v>0.97499999999999998</v>
      </c>
      <c r="J166" s="430" t="s">
        <v>927</v>
      </c>
      <c r="K166" s="430" t="s">
        <v>963</v>
      </c>
      <c r="L166" s="431" t="s">
        <v>1244</v>
      </c>
    </row>
    <row r="167" spans="1:12" ht="10.199999999999999" hidden="1" customHeight="1" x14ac:dyDescent="0.2">
      <c r="A167" s="434" t="s">
        <v>1122</v>
      </c>
      <c r="B167" s="433" t="s">
        <v>1442</v>
      </c>
      <c r="C167" s="430" t="s">
        <v>1441</v>
      </c>
      <c r="D167" s="433" t="s">
        <v>1404</v>
      </c>
      <c r="E167" s="431">
        <v>1</v>
      </c>
      <c r="F167" s="431">
        <v>0</v>
      </c>
      <c r="G167" s="431">
        <v>155</v>
      </c>
      <c r="H167" s="431">
        <v>160</v>
      </c>
      <c r="I167" s="432">
        <v>0.96875</v>
      </c>
      <c r="J167" s="430" t="s">
        <v>927</v>
      </c>
      <c r="K167" s="430" t="s">
        <v>963</v>
      </c>
      <c r="L167" s="431" t="s">
        <v>1244</v>
      </c>
    </row>
    <row r="168" spans="1:12" ht="10.199999999999999" hidden="1" customHeight="1" x14ac:dyDescent="0.2">
      <c r="A168" s="434" t="s">
        <v>1122</v>
      </c>
      <c r="B168" s="433" t="s">
        <v>1440</v>
      </c>
      <c r="C168" s="430" t="s">
        <v>1439</v>
      </c>
      <c r="D168" s="433" t="s">
        <v>1404</v>
      </c>
      <c r="E168" s="431">
        <v>1</v>
      </c>
      <c r="F168" s="431">
        <v>0</v>
      </c>
      <c r="G168" s="431">
        <v>155</v>
      </c>
      <c r="H168" s="431">
        <v>160</v>
      </c>
      <c r="I168" s="432">
        <v>0.96875</v>
      </c>
      <c r="J168" s="430" t="s">
        <v>927</v>
      </c>
      <c r="K168" s="430" t="s">
        <v>963</v>
      </c>
      <c r="L168" s="431" t="s">
        <v>1244</v>
      </c>
    </row>
    <row r="169" spans="1:12" ht="10.199999999999999" hidden="1" customHeight="1" x14ac:dyDescent="0.2">
      <c r="A169" s="434" t="s">
        <v>1122</v>
      </c>
      <c r="B169" s="433" t="s">
        <v>1272</v>
      </c>
      <c r="C169" s="430" t="s">
        <v>1438</v>
      </c>
      <c r="D169" s="433" t="s">
        <v>1404</v>
      </c>
      <c r="E169" s="431">
        <v>1</v>
      </c>
      <c r="F169" s="431">
        <v>0</v>
      </c>
      <c r="G169" s="431">
        <v>312</v>
      </c>
      <c r="H169" s="431">
        <v>320</v>
      </c>
      <c r="I169" s="432">
        <v>0.97499999999999998</v>
      </c>
      <c r="J169" s="430" t="s">
        <v>927</v>
      </c>
      <c r="K169" s="430" t="s">
        <v>963</v>
      </c>
      <c r="L169" s="431" t="s">
        <v>1244</v>
      </c>
    </row>
    <row r="170" spans="1:12" ht="10.199999999999999" hidden="1" customHeight="1" x14ac:dyDescent="0.2">
      <c r="A170" s="434" t="s">
        <v>1122</v>
      </c>
      <c r="B170" s="433" t="s">
        <v>1275</v>
      </c>
      <c r="C170" s="430" t="s">
        <v>1437</v>
      </c>
      <c r="D170" s="433" t="s">
        <v>1404</v>
      </c>
      <c r="E170" s="431">
        <v>1</v>
      </c>
      <c r="F170" s="431">
        <v>0</v>
      </c>
      <c r="G170" s="431">
        <v>155</v>
      </c>
      <c r="H170" s="431">
        <v>160</v>
      </c>
      <c r="I170" s="432">
        <v>0.96875</v>
      </c>
      <c r="J170" s="430" t="s">
        <v>927</v>
      </c>
      <c r="K170" s="430" t="s">
        <v>963</v>
      </c>
      <c r="L170" s="431" t="s">
        <v>1244</v>
      </c>
    </row>
    <row r="171" spans="1:12" ht="10.199999999999999" hidden="1" customHeight="1" x14ac:dyDescent="0.2">
      <c r="A171" s="434" t="s">
        <v>1122</v>
      </c>
      <c r="B171" s="433" t="s">
        <v>1277</v>
      </c>
      <c r="C171" s="430" t="s">
        <v>1436</v>
      </c>
      <c r="D171" s="433" t="s">
        <v>1404</v>
      </c>
      <c r="E171" s="431">
        <v>1</v>
      </c>
      <c r="F171" s="431">
        <v>0</v>
      </c>
      <c r="G171" s="431">
        <v>155</v>
      </c>
      <c r="H171" s="431">
        <v>160</v>
      </c>
      <c r="I171" s="432">
        <v>0.96875</v>
      </c>
      <c r="J171" s="430" t="s">
        <v>927</v>
      </c>
      <c r="K171" s="430" t="s">
        <v>963</v>
      </c>
      <c r="L171" s="431" t="s">
        <v>1244</v>
      </c>
    </row>
    <row r="172" spans="1:12" ht="10.199999999999999" hidden="1" customHeight="1" x14ac:dyDescent="0.2">
      <c r="A172" s="434" t="s">
        <v>1122</v>
      </c>
      <c r="B172" s="433" t="s">
        <v>1435</v>
      </c>
      <c r="C172" s="430" t="s">
        <v>1434</v>
      </c>
      <c r="D172" s="433" t="s">
        <v>1404</v>
      </c>
      <c r="E172" s="431">
        <v>1</v>
      </c>
      <c r="F172" s="431">
        <v>0</v>
      </c>
      <c r="G172" s="431">
        <v>312</v>
      </c>
      <c r="H172" s="431">
        <v>320</v>
      </c>
      <c r="I172" s="432">
        <v>0.97499999999999998</v>
      </c>
      <c r="J172" s="430" t="s">
        <v>927</v>
      </c>
      <c r="K172" s="430" t="s">
        <v>963</v>
      </c>
      <c r="L172" s="431" t="s">
        <v>1244</v>
      </c>
    </row>
    <row r="173" spans="1:12" ht="10.199999999999999" hidden="1" customHeight="1" x14ac:dyDescent="0.2">
      <c r="A173" s="434" t="s">
        <v>1122</v>
      </c>
      <c r="B173" s="433" t="s">
        <v>1279</v>
      </c>
      <c r="C173" s="430" t="s">
        <v>1433</v>
      </c>
      <c r="D173" s="433" t="s">
        <v>1404</v>
      </c>
      <c r="E173" s="431">
        <v>1</v>
      </c>
      <c r="F173" s="431">
        <v>0</v>
      </c>
      <c r="G173" s="431">
        <v>312</v>
      </c>
      <c r="H173" s="431">
        <v>320</v>
      </c>
      <c r="I173" s="432">
        <v>0.97499999999999998</v>
      </c>
      <c r="J173" s="430" t="s">
        <v>927</v>
      </c>
      <c r="K173" s="430" t="s">
        <v>963</v>
      </c>
      <c r="L173" s="431" t="s">
        <v>1244</v>
      </c>
    </row>
    <row r="174" spans="1:12" ht="10.199999999999999" hidden="1" customHeight="1" x14ac:dyDescent="0.2">
      <c r="A174" s="434" t="s">
        <v>1122</v>
      </c>
      <c r="B174" s="433" t="s">
        <v>1281</v>
      </c>
      <c r="C174" s="430" t="s">
        <v>1432</v>
      </c>
      <c r="D174" s="433" t="s">
        <v>1404</v>
      </c>
      <c r="E174" s="431">
        <v>1</v>
      </c>
      <c r="F174" s="431">
        <v>0</v>
      </c>
      <c r="G174" s="431">
        <v>312</v>
      </c>
      <c r="H174" s="431">
        <v>320</v>
      </c>
      <c r="I174" s="432">
        <v>0.97499999999999998</v>
      </c>
      <c r="J174" s="430" t="s">
        <v>927</v>
      </c>
      <c r="K174" s="430" t="s">
        <v>963</v>
      </c>
      <c r="L174" s="431" t="s">
        <v>1244</v>
      </c>
    </row>
    <row r="175" spans="1:12" ht="10.199999999999999" hidden="1" customHeight="1" x14ac:dyDescent="0.2">
      <c r="A175" s="434" t="s">
        <v>1122</v>
      </c>
      <c r="B175" s="433" t="s">
        <v>1284</v>
      </c>
      <c r="C175" s="430" t="s">
        <v>1431</v>
      </c>
      <c r="D175" s="433" t="s">
        <v>1404</v>
      </c>
      <c r="E175" s="431">
        <v>1</v>
      </c>
      <c r="F175" s="431">
        <v>0</v>
      </c>
      <c r="G175" s="431">
        <v>312</v>
      </c>
      <c r="H175" s="431">
        <v>320</v>
      </c>
      <c r="I175" s="432">
        <v>0.97499999999999998</v>
      </c>
      <c r="J175" s="430" t="s">
        <v>927</v>
      </c>
      <c r="K175" s="430" t="s">
        <v>963</v>
      </c>
      <c r="L175" s="431" t="s">
        <v>1244</v>
      </c>
    </row>
    <row r="176" spans="1:12" ht="10.199999999999999" hidden="1" customHeight="1" x14ac:dyDescent="0.2">
      <c r="A176" s="434" t="s">
        <v>1122</v>
      </c>
      <c r="B176" s="433" t="s">
        <v>1430</v>
      </c>
      <c r="C176" s="430" t="s">
        <v>1429</v>
      </c>
      <c r="D176" s="433" t="s">
        <v>1404</v>
      </c>
      <c r="E176" s="431">
        <v>1</v>
      </c>
      <c r="F176" s="431">
        <v>0</v>
      </c>
      <c r="G176" s="431">
        <v>312</v>
      </c>
      <c r="H176" s="431">
        <v>320</v>
      </c>
      <c r="I176" s="432">
        <v>0.97499999999999998</v>
      </c>
      <c r="J176" s="430" t="s">
        <v>927</v>
      </c>
      <c r="K176" s="430" t="s">
        <v>963</v>
      </c>
      <c r="L176" s="431" t="s">
        <v>1244</v>
      </c>
    </row>
    <row r="177" spans="1:12" ht="10.199999999999999" hidden="1" customHeight="1" x14ac:dyDescent="0.2">
      <c r="A177" s="434" t="s">
        <v>1122</v>
      </c>
      <c r="B177" s="433" t="s">
        <v>1428</v>
      </c>
      <c r="C177" s="430" t="s">
        <v>1427</v>
      </c>
      <c r="D177" s="433" t="s">
        <v>1404</v>
      </c>
      <c r="E177" s="431">
        <v>1</v>
      </c>
      <c r="F177" s="431">
        <v>0</v>
      </c>
      <c r="G177" s="431">
        <v>312</v>
      </c>
      <c r="H177" s="431">
        <v>320</v>
      </c>
      <c r="I177" s="432">
        <v>0.97499999999999998</v>
      </c>
      <c r="J177" s="430" t="s">
        <v>927</v>
      </c>
      <c r="K177" s="430" t="s">
        <v>963</v>
      </c>
      <c r="L177" s="431" t="s">
        <v>1244</v>
      </c>
    </row>
    <row r="178" spans="1:12" ht="10.199999999999999" customHeight="1" x14ac:dyDescent="0.2">
      <c r="A178" s="434" t="s">
        <v>1197</v>
      </c>
      <c r="B178" s="433" t="s">
        <v>924</v>
      </c>
      <c r="C178" s="430" t="s">
        <v>1198</v>
      </c>
      <c r="D178" s="433" t="s">
        <v>1124</v>
      </c>
      <c r="E178" s="431">
        <v>45</v>
      </c>
      <c r="F178" s="431">
        <v>88</v>
      </c>
      <c r="G178" s="431">
        <v>9276</v>
      </c>
      <c r="H178" s="431">
        <v>14357</v>
      </c>
      <c r="I178" s="432">
        <v>0.64609598105453803</v>
      </c>
      <c r="J178" s="430" t="s">
        <v>927</v>
      </c>
      <c r="K178" s="430" t="s">
        <v>933</v>
      </c>
      <c r="L178" s="431" t="s">
        <v>929</v>
      </c>
    </row>
    <row r="179" spans="1:12" ht="10.199999999999999" customHeight="1" x14ac:dyDescent="0.2">
      <c r="A179" s="434" t="s">
        <v>1197</v>
      </c>
      <c r="B179" s="433" t="s">
        <v>930</v>
      </c>
      <c r="C179" s="430" t="s">
        <v>1199</v>
      </c>
      <c r="D179" s="433" t="s">
        <v>1124</v>
      </c>
      <c r="E179" s="431">
        <v>27</v>
      </c>
      <c r="F179" s="431">
        <v>149</v>
      </c>
      <c r="G179" s="431">
        <v>11157</v>
      </c>
      <c r="H179" s="431">
        <v>14588</v>
      </c>
      <c r="I179" s="432">
        <v>0.76480669043049099</v>
      </c>
      <c r="J179" s="430" t="s">
        <v>927</v>
      </c>
      <c r="K179" s="430" t="s">
        <v>933</v>
      </c>
      <c r="L179" s="431" t="s">
        <v>929</v>
      </c>
    </row>
    <row r="180" spans="1:12" ht="10.199999999999999" customHeight="1" x14ac:dyDescent="0.2">
      <c r="A180" s="434" t="s">
        <v>1197</v>
      </c>
      <c r="B180" s="433" t="s">
        <v>934</v>
      </c>
      <c r="C180" s="430" t="s">
        <v>1200</v>
      </c>
      <c r="D180" s="433" t="s">
        <v>1124</v>
      </c>
      <c r="E180" s="431">
        <v>16</v>
      </c>
      <c r="F180" s="431">
        <v>132</v>
      </c>
      <c r="G180" s="431">
        <v>5054</v>
      </c>
      <c r="H180" s="431">
        <v>9277</v>
      </c>
      <c r="I180" s="432">
        <v>0.54478818583593802</v>
      </c>
      <c r="J180" s="430" t="s">
        <v>927</v>
      </c>
      <c r="K180" s="430" t="s">
        <v>933</v>
      </c>
      <c r="L180" s="431" t="s">
        <v>929</v>
      </c>
    </row>
    <row r="181" spans="1:12" ht="10.199999999999999" customHeight="1" x14ac:dyDescent="0.2">
      <c r="A181" s="434" t="s">
        <v>1197</v>
      </c>
      <c r="B181" s="433" t="s">
        <v>937</v>
      </c>
      <c r="C181" s="430" t="s">
        <v>1201</v>
      </c>
      <c r="D181" s="433" t="s">
        <v>1124</v>
      </c>
      <c r="E181" s="431">
        <v>18</v>
      </c>
      <c r="F181" s="431">
        <v>315</v>
      </c>
      <c r="G181" s="431">
        <v>10496</v>
      </c>
      <c r="H181" s="431">
        <v>14496</v>
      </c>
      <c r="I181" s="432">
        <v>0.72406181015452598</v>
      </c>
      <c r="J181" s="430" t="s">
        <v>927</v>
      </c>
      <c r="K181" s="430" t="s">
        <v>933</v>
      </c>
      <c r="L181" s="431" t="s">
        <v>929</v>
      </c>
    </row>
    <row r="182" spans="1:12" ht="10.199999999999999" customHeight="1" x14ac:dyDescent="0.2">
      <c r="A182" s="434" t="s">
        <v>1197</v>
      </c>
      <c r="B182" s="433" t="s">
        <v>940</v>
      </c>
      <c r="C182" s="430" t="s">
        <v>1202</v>
      </c>
      <c r="D182" s="433" t="s">
        <v>1124</v>
      </c>
      <c r="E182" s="431">
        <v>13</v>
      </c>
      <c r="F182" s="431">
        <v>27</v>
      </c>
      <c r="G182" s="431">
        <v>2067</v>
      </c>
      <c r="H182" s="431">
        <v>2785</v>
      </c>
      <c r="I182" s="432">
        <v>0.74219030520646301</v>
      </c>
      <c r="J182" s="430" t="s">
        <v>927</v>
      </c>
      <c r="K182" s="430" t="s">
        <v>933</v>
      </c>
      <c r="L182" s="431" t="s">
        <v>929</v>
      </c>
    </row>
    <row r="183" spans="1:12" ht="10.199999999999999" customHeight="1" x14ac:dyDescent="0.2">
      <c r="A183" s="434" t="s">
        <v>1197</v>
      </c>
      <c r="B183" s="433" t="s">
        <v>942</v>
      </c>
      <c r="C183" s="430" t="s">
        <v>1203</v>
      </c>
      <c r="D183" s="433" t="s">
        <v>1124</v>
      </c>
      <c r="E183" s="431">
        <v>2</v>
      </c>
      <c r="F183" s="431">
        <v>0</v>
      </c>
      <c r="G183" s="431">
        <v>1444</v>
      </c>
      <c r="H183" s="431">
        <v>1518</v>
      </c>
      <c r="I183" s="432">
        <v>0.95125164690382102</v>
      </c>
      <c r="J183" s="430" t="s">
        <v>927</v>
      </c>
      <c r="K183" s="430" t="s">
        <v>933</v>
      </c>
      <c r="L183" s="431" t="s">
        <v>929</v>
      </c>
    </row>
    <row r="184" spans="1:12" ht="10.199999999999999" customHeight="1" x14ac:dyDescent="0.2">
      <c r="A184" s="434" t="s">
        <v>1197</v>
      </c>
      <c r="B184" s="433" t="s">
        <v>945</v>
      </c>
      <c r="C184" s="430" t="s">
        <v>1204</v>
      </c>
      <c r="D184" s="433" t="s">
        <v>1124</v>
      </c>
      <c r="E184" s="431">
        <v>5</v>
      </c>
      <c r="F184" s="431">
        <v>0</v>
      </c>
      <c r="G184" s="431">
        <v>676</v>
      </c>
      <c r="H184" s="431">
        <v>996</v>
      </c>
      <c r="I184" s="432">
        <v>0.67871485943775101</v>
      </c>
      <c r="J184" s="430" t="s">
        <v>927</v>
      </c>
      <c r="K184" s="430" t="s">
        <v>928</v>
      </c>
      <c r="L184" s="431" t="s">
        <v>929</v>
      </c>
    </row>
    <row r="185" spans="1:12" ht="10.199999999999999" customHeight="1" x14ac:dyDescent="0.2">
      <c r="A185" s="434" t="s">
        <v>1197</v>
      </c>
      <c r="B185" s="433" t="s">
        <v>1133</v>
      </c>
      <c r="C185" s="430" t="s">
        <v>1205</v>
      </c>
      <c r="D185" s="433" t="s">
        <v>1124</v>
      </c>
      <c r="E185" s="431">
        <v>8</v>
      </c>
      <c r="F185" s="431">
        <v>1</v>
      </c>
      <c r="G185" s="431">
        <v>944</v>
      </c>
      <c r="H185" s="431">
        <v>1233</v>
      </c>
      <c r="I185" s="432">
        <v>0.76561232765612297</v>
      </c>
      <c r="J185" s="430" t="s">
        <v>927</v>
      </c>
      <c r="K185" s="430" t="s">
        <v>928</v>
      </c>
      <c r="L185" s="431" t="s">
        <v>929</v>
      </c>
    </row>
    <row r="186" spans="1:12" ht="10.199999999999999" customHeight="1" x14ac:dyDescent="0.2">
      <c r="A186" s="434" t="s">
        <v>1197</v>
      </c>
      <c r="B186" s="433" t="s">
        <v>1136</v>
      </c>
      <c r="C186" s="430" t="s">
        <v>1206</v>
      </c>
      <c r="D186" s="433" t="s">
        <v>1130</v>
      </c>
      <c r="E186" s="431">
        <v>53</v>
      </c>
      <c r="F186" s="431">
        <v>482</v>
      </c>
      <c r="G186" s="431">
        <v>18523</v>
      </c>
      <c r="H186" s="431">
        <v>30740</v>
      </c>
      <c r="I186" s="432">
        <v>0.60256994144437204</v>
      </c>
      <c r="J186" s="430" t="s">
        <v>927</v>
      </c>
      <c r="K186" s="430" t="s">
        <v>933</v>
      </c>
      <c r="L186" s="431" t="s">
        <v>929</v>
      </c>
    </row>
    <row r="187" spans="1:12" ht="10.199999999999999" customHeight="1" x14ac:dyDescent="0.2">
      <c r="A187" s="434" t="s">
        <v>1197</v>
      </c>
      <c r="B187" s="433" t="s">
        <v>948</v>
      </c>
      <c r="C187" s="430" t="s">
        <v>1207</v>
      </c>
      <c r="D187" s="433" t="s">
        <v>1130</v>
      </c>
      <c r="E187" s="431">
        <v>38</v>
      </c>
      <c r="F187" s="431">
        <v>422</v>
      </c>
      <c r="G187" s="431">
        <v>13431</v>
      </c>
      <c r="H187" s="431">
        <v>20019</v>
      </c>
      <c r="I187" s="432">
        <v>0.670912632998651</v>
      </c>
      <c r="J187" s="430" t="s">
        <v>927</v>
      </c>
      <c r="K187" s="430" t="s">
        <v>933</v>
      </c>
      <c r="L187" s="431" t="s">
        <v>929</v>
      </c>
    </row>
    <row r="188" spans="1:12" ht="10.199999999999999" customHeight="1" x14ac:dyDescent="0.2">
      <c r="A188" s="434" t="s">
        <v>1197</v>
      </c>
      <c r="B188" s="433" t="s">
        <v>1139</v>
      </c>
      <c r="C188" s="430" t="s">
        <v>1208</v>
      </c>
      <c r="D188" s="433" t="s">
        <v>1132</v>
      </c>
      <c r="E188" s="431">
        <v>2</v>
      </c>
      <c r="F188" s="431">
        <v>0</v>
      </c>
      <c r="G188" s="431">
        <v>1444</v>
      </c>
      <c r="H188" s="431">
        <v>1518</v>
      </c>
      <c r="I188" s="432">
        <v>0.95125164690382102</v>
      </c>
      <c r="J188" s="430" t="s">
        <v>927</v>
      </c>
      <c r="K188" s="430" t="s">
        <v>933</v>
      </c>
      <c r="L188" s="431" t="s">
        <v>929</v>
      </c>
    </row>
    <row r="189" spans="1:12" ht="10.199999999999999" customHeight="1" x14ac:dyDescent="0.2">
      <c r="A189" s="434" t="s">
        <v>1197</v>
      </c>
      <c r="B189" s="433" t="s">
        <v>951</v>
      </c>
      <c r="C189" s="430" t="s">
        <v>1209</v>
      </c>
      <c r="D189" s="433" t="s">
        <v>1135</v>
      </c>
      <c r="E189" s="431">
        <v>4</v>
      </c>
      <c r="F189" s="431">
        <v>1</v>
      </c>
      <c r="G189" s="431">
        <v>3099</v>
      </c>
      <c r="H189" s="431">
        <v>3600</v>
      </c>
      <c r="I189" s="432">
        <v>0.86083333333333301</v>
      </c>
      <c r="J189" s="430" t="s">
        <v>927</v>
      </c>
      <c r="K189" s="430" t="s">
        <v>933</v>
      </c>
      <c r="L189" s="431" t="s">
        <v>929</v>
      </c>
    </row>
    <row r="190" spans="1:12" ht="10.199999999999999" customHeight="1" x14ac:dyDescent="0.2">
      <c r="A190" s="434" t="s">
        <v>1197</v>
      </c>
      <c r="B190" s="433" t="s">
        <v>954</v>
      </c>
      <c r="C190" s="430" t="s">
        <v>1210</v>
      </c>
      <c r="D190" s="433" t="s">
        <v>1135</v>
      </c>
      <c r="E190" s="431">
        <v>11</v>
      </c>
      <c r="F190" s="431">
        <v>0</v>
      </c>
      <c r="G190" s="431">
        <v>0</v>
      </c>
      <c r="H190" s="431">
        <v>5020</v>
      </c>
      <c r="I190" s="432">
        <v>0</v>
      </c>
      <c r="J190" s="430" t="s">
        <v>927</v>
      </c>
      <c r="K190" s="430" t="s">
        <v>933</v>
      </c>
      <c r="L190" s="431" t="s">
        <v>929</v>
      </c>
    </row>
    <row r="191" spans="1:12" ht="10.199999999999999" customHeight="1" x14ac:dyDescent="0.2">
      <c r="A191" s="434" t="s">
        <v>1197</v>
      </c>
      <c r="B191" s="433" t="s">
        <v>956</v>
      </c>
      <c r="C191" s="430" t="s">
        <v>1211</v>
      </c>
      <c r="D191" s="433" t="s">
        <v>996</v>
      </c>
      <c r="E191" s="431">
        <v>13</v>
      </c>
      <c r="F191" s="431">
        <v>48</v>
      </c>
      <c r="G191" s="431">
        <v>2991</v>
      </c>
      <c r="H191" s="431">
        <v>3360</v>
      </c>
      <c r="I191" s="432">
        <v>0.89017857142857104</v>
      </c>
      <c r="J191" s="430" t="s">
        <v>927</v>
      </c>
      <c r="K191" s="430" t="s">
        <v>936</v>
      </c>
      <c r="L191" s="431" t="s">
        <v>929</v>
      </c>
    </row>
    <row r="192" spans="1:12" ht="10.199999999999999" customHeight="1" x14ac:dyDescent="0.2">
      <c r="A192" s="434" t="s">
        <v>1197</v>
      </c>
      <c r="B192" s="433" t="s">
        <v>959</v>
      </c>
      <c r="C192" s="430" t="s">
        <v>1212</v>
      </c>
      <c r="D192" s="433" t="s">
        <v>1006</v>
      </c>
      <c r="E192" s="431">
        <v>19</v>
      </c>
      <c r="F192" s="431">
        <v>164</v>
      </c>
      <c r="G192" s="431">
        <v>5638</v>
      </c>
      <c r="H192" s="431">
        <v>8235</v>
      </c>
      <c r="I192" s="432">
        <v>0.68463873709775402</v>
      </c>
      <c r="J192" s="430" t="s">
        <v>927</v>
      </c>
      <c r="K192" s="430" t="s">
        <v>963</v>
      </c>
      <c r="L192" s="431" t="s">
        <v>929</v>
      </c>
    </row>
    <row r="193" spans="1:12" ht="10.199999999999999" customHeight="1" x14ac:dyDescent="0.2">
      <c r="A193" s="434" t="s">
        <v>1197</v>
      </c>
      <c r="B193" s="433" t="s">
        <v>1213</v>
      </c>
      <c r="C193" s="430" t="s">
        <v>1214</v>
      </c>
      <c r="D193" s="433" t="s">
        <v>1032</v>
      </c>
      <c r="E193" s="431">
        <v>10</v>
      </c>
      <c r="F193" s="431">
        <v>11</v>
      </c>
      <c r="G193" s="431">
        <v>889</v>
      </c>
      <c r="H193" s="431">
        <v>960</v>
      </c>
      <c r="I193" s="432">
        <v>0.92604166666666698</v>
      </c>
      <c r="J193" s="430" t="s">
        <v>927</v>
      </c>
      <c r="K193" s="430" t="s">
        <v>936</v>
      </c>
      <c r="L193" s="431" t="s">
        <v>929</v>
      </c>
    </row>
    <row r="194" spans="1:12" ht="10.199999999999999" customHeight="1" x14ac:dyDescent="0.2">
      <c r="A194" s="434" t="s">
        <v>1197</v>
      </c>
      <c r="B194" s="433" t="s">
        <v>964</v>
      </c>
      <c r="C194" s="430" t="s">
        <v>1215</v>
      </c>
      <c r="D194" s="433" t="s">
        <v>1032</v>
      </c>
      <c r="E194" s="431">
        <v>9</v>
      </c>
      <c r="F194" s="431">
        <v>8</v>
      </c>
      <c r="G194" s="431">
        <v>810</v>
      </c>
      <c r="H194" s="431">
        <v>960</v>
      </c>
      <c r="I194" s="432">
        <v>0.84375</v>
      </c>
      <c r="J194" s="430" t="s">
        <v>927</v>
      </c>
      <c r="K194" s="430" t="s">
        <v>936</v>
      </c>
      <c r="L194" s="431" t="s">
        <v>929</v>
      </c>
    </row>
    <row r="195" spans="1:12" ht="10.199999999999999" customHeight="1" x14ac:dyDescent="0.2">
      <c r="A195" s="434" t="s">
        <v>1197</v>
      </c>
      <c r="B195" s="433" t="s">
        <v>967</v>
      </c>
      <c r="C195" s="430" t="s">
        <v>1216</v>
      </c>
      <c r="D195" s="433" t="s">
        <v>1107</v>
      </c>
      <c r="E195" s="431">
        <v>7</v>
      </c>
      <c r="F195" s="431">
        <v>6</v>
      </c>
      <c r="G195" s="431">
        <v>685</v>
      </c>
      <c r="H195" s="431">
        <v>960</v>
      </c>
      <c r="I195" s="432">
        <v>0.71354166666666596</v>
      </c>
      <c r="J195" s="430" t="s">
        <v>927</v>
      </c>
      <c r="K195" s="430" t="s">
        <v>936</v>
      </c>
      <c r="L195" s="431" t="s">
        <v>929</v>
      </c>
    </row>
    <row r="196" spans="1:12" ht="10.199999999999999" customHeight="1" x14ac:dyDescent="0.2">
      <c r="A196" s="434" t="s">
        <v>1197</v>
      </c>
      <c r="B196" s="433" t="s">
        <v>969</v>
      </c>
      <c r="C196" s="430" t="s">
        <v>1217</v>
      </c>
      <c r="D196" s="433" t="s">
        <v>1110</v>
      </c>
      <c r="E196" s="431">
        <v>69</v>
      </c>
      <c r="F196" s="431">
        <v>846</v>
      </c>
      <c r="G196" s="431">
        <v>29716</v>
      </c>
      <c r="H196" s="431">
        <v>44862</v>
      </c>
      <c r="I196" s="432">
        <v>0.66238687530649498</v>
      </c>
      <c r="J196" s="430" t="s">
        <v>927</v>
      </c>
      <c r="K196" s="430" t="s">
        <v>933</v>
      </c>
      <c r="L196" s="431" t="s">
        <v>929</v>
      </c>
    </row>
    <row r="197" spans="1:12" ht="10.199999999999999" customHeight="1" x14ac:dyDescent="0.2">
      <c r="A197" s="434" t="s">
        <v>1197</v>
      </c>
      <c r="B197" s="433" t="s">
        <v>972</v>
      </c>
      <c r="C197" s="430" t="s">
        <v>1218</v>
      </c>
      <c r="D197" s="433" t="s">
        <v>1219</v>
      </c>
      <c r="E197" s="431">
        <v>3</v>
      </c>
      <c r="F197" s="431">
        <v>0</v>
      </c>
      <c r="G197" s="431">
        <v>525</v>
      </c>
      <c r="H197" s="431">
        <v>940</v>
      </c>
      <c r="I197" s="432">
        <v>0.55851063829787195</v>
      </c>
      <c r="J197" s="430" t="s">
        <v>927</v>
      </c>
      <c r="K197" s="430" t="s">
        <v>928</v>
      </c>
      <c r="L197" s="431" t="s">
        <v>929</v>
      </c>
    </row>
    <row r="198" spans="1:12" ht="10.199999999999999" customHeight="1" x14ac:dyDescent="0.2">
      <c r="A198" s="434" t="s">
        <v>1197</v>
      </c>
      <c r="B198" s="433" t="s">
        <v>975</v>
      </c>
      <c r="C198" s="430" t="s">
        <v>1220</v>
      </c>
      <c r="D198" s="433" t="s">
        <v>1219</v>
      </c>
      <c r="E198" s="431">
        <v>3</v>
      </c>
      <c r="F198" s="431">
        <v>0</v>
      </c>
      <c r="G198" s="431">
        <v>681</v>
      </c>
      <c r="H198" s="431">
        <v>940</v>
      </c>
      <c r="I198" s="432">
        <v>0.72446808510638305</v>
      </c>
      <c r="J198" s="430" t="s">
        <v>927</v>
      </c>
      <c r="K198" s="430" t="s">
        <v>928</v>
      </c>
      <c r="L198" s="431" t="s">
        <v>929</v>
      </c>
    </row>
    <row r="199" spans="1:12" ht="10.199999999999999" customHeight="1" x14ac:dyDescent="0.2">
      <c r="A199" s="434" t="s">
        <v>1197</v>
      </c>
      <c r="B199" s="433" t="s">
        <v>977</v>
      </c>
      <c r="C199" s="430" t="s">
        <v>1221</v>
      </c>
      <c r="D199" s="433" t="s">
        <v>1219</v>
      </c>
      <c r="E199" s="431">
        <v>45</v>
      </c>
      <c r="F199" s="431">
        <v>378</v>
      </c>
      <c r="G199" s="431">
        <v>15068</v>
      </c>
      <c r="H199" s="431">
        <v>25025</v>
      </c>
      <c r="I199" s="432">
        <v>0.60211788211788198</v>
      </c>
      <c r="J199" s="430" t="s">
        <v>927</v>
      </c>
      <c r="K199" s="430" t="s">
        <v>963</v>
      </c>
      <c r="L199" s="431" t="s">
        <v>929</v>
      </c>
    </row>
    <row r="200" spans="1:12" ht="10.199999999999999" customHeight="1" x14ac:dyDescent="0.2">
      <c r="A200" s="434" t="s">
        <v>1197</v>
      </c>
      <c r="B200" s="433" t="s">
        <v>979</v>
      </c>
      <c r="C200" s="430" t="s">
        <v>1222</v>
      </c>
      <c r="D200" s="433" t="s">
        <v>1107</v>
      </c>
      <c r="E200" s="431">
        <v>1</v>
      </c>
      <c r="F200" s="431">
        <v>40</v>
      </c>
      <c r="G200" s="431">
        <v>1842</v>
      </c>
      <c r="H200" s="431">
        <v>1920</v>
      </c>
      <c r="I200" s="432">
        <v>0.95937499999999998</v>
      </c>
      <c r="J200" s="430" t="s">
        <v>927</v>
      </c>
      <c r="K200" s="430" t="s">
        <v>936</v>
      </c>
      <c r="L200" s="431" t="s">
        <v>929</v>
      </c>
    </row>
    <row r="201" spans="1:12" ht="10.199999999999999" customHeight="1" x14ac:dyDescent="0.2">
      <c r="A201" s="434" t="s">
        <v>1197</v>
      </c>
      <c r="B201" s="433" t="s">
        <v>1153</v>
      </c>
      <c r="C201" s="430" t="s">
        <v>1223</v>
      </c>
      <c r="D201" s="433" t="s">
        <v>1184</v>
      </c>
      <c r="E201" s="431">
        <v>26</v>
      </c>
      <c r="F201" s="431">
        <v>47</v>
      </c>
      <c r="G201" s="431">
        <v>12460</v>
      </c>
      <c r="H201" s="431">
        <v>15468</v>
      </c>
      <c r="I201" s="432">
        <v>0.805534005689165</v>
      </c>
      <c r="J201" s="430" t="s">
        <v>927</v>
      </c>
      <c r="K201" s="430" t="s">
        <v>963</v>
      </c>
      <c r="L201" s="431" t="s">
        <v>929</v>
      </c>
    </row>
    <row r="202" spans="1:12" ht="10.199999999999999" customHeight="1" x14ac:dyDescent="0.2">
      <c r="A202" s="434" t="s">
        <v>1197</v>
      </c>
      <c r="B202" s="433" t="s">
        <v>981</v>
      </c>
      <c r="C202" s="430" t="s">
        <v>1224</v>
      </c>
      <c r="D202" s="433" t="s">
        <v>1006</v>
      </c>
      <c r="E202" s="431">
        <v>7</v>
      </c>
      <c r="F202" s="431">
        <v>75</v>
      </c>
      <c r="G202" s="431">
        <v>2607</v>
      </c>
      <c r="H202" s="431">
        <v>2880</v>
      </c>
      <c r="I202" s="432">
        <v>0.90520833333333295</v>
      </c>
      <c r="J202" s="430" t="s">
        <v>927</v>
      </c>
      <c r="K202" s="430" t="s">
        <v>963</v>
      </c>
      <c r="L202" s="431" t="s">
        <v>929</v>
      </c>
    </row>
    <row r="203" spans="1:12" ht="10.199999999999999" customHeight="1" x14ac:dyDescent="0.2">
      <c r="A203" s="434" t="s">
        <v>1197</v>
      </c>
      <c r="B203" s="433" t="s">
        <v>1156</v>
      </c>
      <c r="C203" s="430" t="s">
        <v>1225</v>
      </c>
      <c r="D203" s="433" t="s">
        <v>1006</v>
      </c>
      <c r="E203" s="431">
        <v>5</v>
      </c>
      <c r="F203" s="431">
        <v>56</v>
      </c>
      <c r="G203" s="431">
        <v>1548</v>
      </c>
      <c r="H203" s="431">
        <v>1920</v>
      </c>
      <c r="I203" s="432">
        <v>0.80625000000000002</v>
      </c>
      <c r="J203" s="430" t="s">
        <v>927</v>
      </c>
      <c r="K203" s="430" t="s">
        <v>963</v>
      </c>
      <c r="L203" s="431" t="s">
        <v>929</v>
      </c>
    </row>
    <row r="204" spans="1:12" ht="10.199999999999999" customHeight="1" x14ac:dyDescent="0.2">
      <c r="A204" s="434" t="s">
        <v>1197</v>
      </c>
      <c r="B204" s="433" t="s">
        <v>1158</v>
      </c>
      <c r="C204" s="430" t="s">
        <v>1226</v>
      </c>
      <c r="D204" s="433" t="s">
        <v>1107</v>
      </c>
      <c r="E204" s="431">
        <v>1</v>
      </c>
      <c r="F204" s="431">
        <v>45</v>
      </c>
      <c r="G204" s="431">
        <v>900</v>
      </c>
      <c r="H204" s="431">
        <v>960</v>
      </c>
      <c r="I204" s="432">
        <v>0.9375</v>
      </c>
      <c r="J204" s="430" t="s">
        <v>927</v>
      </c>
      <c r="K204" s="430" t="s">
        <v>936</v>
      </c>
      <c r="L204" s="431" t="s">
        <v>929</v>
      </c>
    </row>
    <row r="205" spans="1:12" ht="10.199999999999999" customHeight="1" x14ac:dyDescent="0.2">
      <c r="A205" s="434" t="s">
        <v>1197</v>
      </c>
      <c r="B205" s="433" t="s">
        <v>1160</v>
      </c>
      <c r="C205" s="430" t="s">
        <v>1227</v>
      </c>
      <c r="D205" s="433" t="s">
        <v>1107</v>
      </c>
      <c r="E205" s="431">
        <v>1</v>
      </c>
      <c r="F205" s="431">
        <v>46</v>
      </c>
      <c r="G205" s="431">
        <v>900</v>
      </c>
      <c r="H205" s="431">
        <v>960</v>
      </c>
      <c r="I205" s="432">
        <v>0.9375</v>
      </c>
      <c r="J205" s="430" t="s">
        <v>927</v>
      </c>
      <c r="K205" s="430" t="s">
        <v>936</v>
      </c>
      <c r="L205" s="431" t="s">
        <v>929</v>
      </c>
    </row>
    <row r="206" spans="1:12" ht="10.199999999999999" customHeight="1" x14ac:dyDescent="0.2">
      <c r="A206" s="434" t="s">
        <v>1197</v>
      </c>
      <c r="B206" s="433" t="s">
        <v>984</v>
      </c>
      <c r="C206" s="430" t="s">
        <v>1228</v>
      </c>
      <c r="D206" s="433" t="s">
        <v>1107</v>
      </c>
      <c r="E206" s="431">
        <v>1</v>
      </c>
      <c r="F206" s="431">
        <v>54</v>
      </c>
      <c r="G206" s="431">
        <v>900</v>
      </c>
      <c r="H206" s="431">
        <v>960</v>
      </c>
      <c r="I206" s="432">
        <v>0.9375</v>
      </c>
      <c r="J206" s="430" t="s">
        <v>927</v>
      </c>
      <c r="K206" s="430" t="s">
        <v>936</v>
      </c>
      <c r="L206" s="431" t="s">
        <v>929</v>
      </c>
    </row>
    <row r="207" spans="1:12" ht="10.199999999999999" customHeight="1" x14ac:dyDescent="0.2">
      <c r="A207" s="434" t="s">
        <v>1197</v>
      </c>
      <c r="B207" s="433" t="s">
        <v>987</v>
      </c>
      <c r="C207" s="430" t="s">
        <v>1229</v>
      </c>
      <c r="D207" s="433" t="s">
        <v>1107</v>
      </c>
      <c r="E207" s="431">
        <v>2</v>
      </c>
      <c r="F207" s="431">
        <v>106</v>
      </c>
      <c r="G207" s="431">
        <v>1814</v>
      </c>
      <c r="H207" s="431">
        <v>1920</v>
      </c>
      <c r="I207" s="432">
        <v>0.94479166666666703</v>
      </c>
      <c r="J207" s="430" t="s">
        <v>927</v>
      </c>
      <c r="K207" s="430" t="s">
        <v>936</v>
      </c>
      <c r="L207" s="431" t="s">
        <v>929</v>
      </c>
    </row>
    <row r="208" spans="1:12" ht="10.199999999999999" customHeight="1" x14ac:dyDescent="0.2">
      <c r="A208" s="434" t="s">
        <v>1197</v>
      </c>
      <c r="B208" s="433" t="s">
        <v>989</v>
      </c>
      <c r="C208" s="430" t="s">
        <v>1230</v>
      </c>
      <c r="D208" s="433" t="s">
        <v>1107</v>
      </c>
      <c r="E208" s="431">
        <v>1</v>
      </c>
      <c r="F208" s="431">
        <v>34</v>
      </c>
      <c r="G208" s="431">
        <v>1844</v>
      </c>
      <c r="H208" s="431">
        <v>1920</v>
      </c>
      <c r="I208" s="432">
        <v>0.96041666666666703</v>
      </c>
      <c r="J208" s="430" t="s">
        <v>927</v>
      </c>
      <c r="K208" s="430" t="s">
        <v>936</v>
      </c>
      <c r="L208" s="431" t="s">
        <v>929</v>
      </c>
    </row>
    <row r="209" spans="1:12" ht="10.199999999999999" customHeight="1" x14ac:dyDescent="0.2">
      <c r="A209" s="434" t="s">
        <v>1197</v>
      </c>
      <c r="B209" s="433" t="s">
        <v>992</v>
      </c>
      <c r="C209" s="430" t="s">
        <v>1231</v>
      </c>
      <c r="D209" s="433" t="s">
        <v>1013</v>
      </c>
      <c r="E209" s="431">
        <v>1</v>
      </c>
      <c r="F209" s="431">
        <v>0</v>
      </c>
      <c r="G209" s="431">
        <v>180</v>
      </c>
      <c r="H209" s="431">
        <v>198</v>
      </c>
      <c r="I209" s="432">
        <v>0.90909090909090895</v>
      </c>
      <c r="J209" s="430" t="s">
        <v>927</v>
      </c>
      <c r="K209" s="430" t="s">
        <v>936</v>
      </c>
      <c r="L209" s="431" t="s">
        <v>929</v>
      </c>
    </row>
    <row r="210" spans="1:12" ht="10.199999999999999" customHeight="1" x14ac:dyDescent="0.2">
      <c r="A210" s="434" t="s">
        <v>1197</v>
      </c>
      <c r="B210" s="433" t="s">
        <v>995</v>
      </c>
      <c r="C210" s="430" t="s">
        <v>1232</v>
      </c>
      <c r="D210" s="433" t="s">
        <v>1233</v>
      </c>
      <c r="E210" s="431">
        <v>1</v>
      </c>
      <c r="F210" s="431">
        <v>0</v>
      </c>
      <c r="G210" s="431">
        <v>98</v>
      </c>
      <c r="H210" s="431">
        <v>100</v>
      </c>
      <c r="I210" s="432">
        <v>0.98</v>
      </c>
      <c r="J210" s="430" t="s">
        <v>927</v>
      </c>
      <c r="K210" s="430" t="s">
        <v>936</v>
      </c>
      <c r="L210" s="431" t="s">
        <v>929</v>
      </c>
    </row>
    <row r="211" spans="1:12" ht="10.199999999999999" customHeight="1" x14ac:dyDescent="0.2">
      <c r="A211" s="434" t="s">
        <v>1197</v>
      </c>
      <c r="B211" s="433" t="s">
        <v>999</v>
      </c>
      <c r="C211" s="430" t="s">
        <v>1109</v>
      </c>
      <c r="D211" s="433" t="s">
        <v>1184</v>
      </c>
      <c r="E211" s="431">
        <v>1</v>
      </c>
      <c r="F211" s="431">
        <v>0</v>
      </c>
      <c r="G211" s="431">
        <v>620</v>
      </c>
      <c r="H211" s="431">
        <v>840</v>
      </c>
      <c r="I211" s="432">
        <v>0.73809523809523803</v>
      </c>
      <c r="J211" s="430" t="s">
        <v>927</v>
      </c>
      <c r="K211" s="430" t="s">
        <v>933</v>
      </c>
      <c r="L211" s="431" t="s">
        <v>929</v>
      </c>
    </row>
    <row r="212" spans="1:12" ht="10.199999999999999" customHeight="1" x14ac:dyDescent="0.2">
      <c r="A212" s="434" t="s">
        <v>1197</v>
      </c>
      <c r="B212" s="433" t="s">
        <v>1001</v>
      </c>
      <c r="C212" s="430" t="s">
        <v>1234</v>
      </c>
      <c r="D212" s="433" t="s">
        <v>996</v>
      </c>
      <c r="E212" s="431">
        <v>1</v>
      </c>
      <c r="F212" s="431">
        <v>0</v>
      </c>
      <c r="G212" s="431">
        <v>234</v>
      </c>
      <c r="H212" s="431">
        <v>270</v>
      </c>
      <c r="I212" s="432">
        <v>0.86666666666666703</v>
      </c>
      <c r="J212" s="430" t="s">
        <v>927</v>
      </c>
      <c r="K212" s="430" t="s">
        <v>928</v>
      </c>
      <c r="L212" s="431" t="s">
        <v>929</v>
      </c>
    </row>
    <row r="213" spans="1:12" ht="10.199999999999999" customHeight="1" x14ac:dyDescent="0.2">
      <c r="A213" s="434" t="s">
        <v>1197</v>
      </c>
      <c r="B213" s="433" t="s">
        <v>1235</v>
      </c>
      <c r="C213" s="430" t="s">
        <v>1236</v>
      </c>
      <c r="D213" s="433" t="s">
        <v>1107</v>
      </c>
      <c r="E213" s="431">
        <v>2</v>
      </c>
      <c r="F213" s="431">
        <v>0</v>
      </c>
      <c r="G213" s="431">
        <v>114</v>
      </c>
      <c r="H213" s="431">
        <v>480</v>
      </c>
      <c r="I213" s="432">
        <v>0.23749999999999999</v>
      </c>
      <c r="J213" s="430" t="s">
        <v>927</v>
      </c>
      <c r="K213" s="430" t="s">
        <v>936</v>
      </c>
      <c r="L213" s="431" t="s">
        <v>929</v>
      </c>
    </row>
    <row r="214" spans="1:12" ht="10.199999999999999" customHeight="1" x14ac:dyDescent="0.2">
      <c r="A214" s="434" t="s">
        <v>1197</v>
      </c>
      <c r="B214" s="433" t="s">
        <v>1237</v>
      </c>
      <c r="C214" s="430" t="s">
        <v>1238</v>
      </c>
      <c r="D214" s="433" t="s">
        <v>1196</v>
      </c>
      <c r="E214" s="431">
        <v>8</v>
      </c>
      <c r="F214" s="431">
        <v>10</v>
      </c>
      <c r="G214" s="431">
        <v>1483</v>
      </c>
      <c r="H214" s="431">
        <v>1692</v>
      </c>
      <c r="I214" s="432">
        <v>0.87647754137115796</v>
      </c>
      <c r="J214" s="430" t="s">
        <v>927</v>
      </c>
      <c r="K214" s="430" t="s">
        <v>933</v>
      </c>
      <c r="L214" s="431" t="s">
        <v>929</v>
      </c>
    </row>
    <row r="215" spans="1:12" ht="10.199999999999999" customHeight="1" x14ac:dyDescent="0.2">
      <c r="A215" s="434" t="s">
        <v>1197</v>
      </c>
      <c r="B215" s="433" t="s">
        <v>1239</v>
      </c>
      <c r="C215" s="430" t="s">
        <v>1240</v>
      </c>
      <c r="D215" s="433" t="s">
        <v>1013</v>
      </c>
      <c r="E215" s="431">
        <v>19</v>
      </c>
      <c r="F215" s="431">
        <v>38</v>
      </c>
      <c r="G215" s="431">
        <v>8008</v>
      </c>
      <c r="H215" s="431">
        <v>16000</v>
      </c>
      <c r="I215" s="432">
        <v>0.50049999999999994</v>
      </c>
      <c r="J215" s="430" t="s">
        <v>927</v>
      </c>
      <c r="K215" s="430" t="s">
        <v>963</v>
      </c>
      <c r="L215" s="431" t="s">
        <v>929</v>
      </c>
    </row>
    <row r="216" spans="1:12" ht="10.199999999999999" customHeight="1" x14ac:dyDescent="0.2">
      <c r="A216" s="434" t="s">
        <v>1197</v>
      </c>
      <c r="B216" s="433" t="s">
        <v>1426</v>
      </c>
      <c r="C216" s="430" t="s">
        <v>1425</v>
      </c>
      <c r="D216" s="433" t="s">
        <v>1274</v>
      </c>
      <c r="E216" s="431">
        <v>12</v>
      </c>
      <c r="F216" s="431">
        <v>27</v>
      </c>
      <c r="G216" s="431">
        <v>2262</v>
      </c>
      <c r="H216" s="431">
        <v>3051</v>
      </c>
      <c r="I216" s="432">
        <v>0.74139626352015697</v>
      </c>
      <c r="J216" s="430" t="s">
        <v>1283</v>
      </c>
      <c r="K216" s="430" t="s">
        <v>933</v>
      </c>
      <c r="L216" s="431" t="s">
        <v>929</v>
      </c>
    </row>
    <row r="217" spans="1:12" ht="10.199999999999999" customHeight="1" x14ac:dyDescent="0.2">
      <c r="A217" s="434" t="s">
        <v>1197</v>
      </c>
      <c r="B217" s="433" t="s">
        <v>1424</v>
      </c>
      <c r="C217" s="430" t="s">
        <v>1423</v>
      </c>
      <c r="D217" s="433" t="s">
        <v>1404</v>
      </c>
      <c r="E217" s="431">
        <v>1</v>
      </c>
      <c r="F217" s="431">
        <v>0</v>
      </c>
      <c r="G217" s="431">
        <v>141</v>
      </c>
      <c r="H217" s="431">
        <v>150</v>
      </c>
      <c r="I217" s="432">
        <v>0.94</v>
      </c>
      <c r="J217" s="430" t="s">
        <v>927</v>
      </c>
      <c r="K217" s="430" t="s">
        <v>963</v>
      </c>
      <c r="L217" s="431" t="s">
        <v>1244</v>
      </c>
    </row>
    <row r="218" spans="1:12" ht="10.199999999999999" customHeight="1" x14ac:dyDescent="0.2">
      <c r="A218" s="434" t="s">
        <v>1197</v>
      </c>
      <c r="B218" s="433" t="s">
        <v>1422</v>
      </c>
      <c r="C218" s="430" t="s">
        <v>1421</v>
      </c>
      <c r="D218" s="433" t="s">
        <v>1404</v>
      </c>
      <c r="E218" s="431">
        <v>1</v>
      </c>
      <c r="F218" s="431">
        <v>0</v>
      </c>
      <c r="G218" s="431">
        <v>141</v>
      </c>
      <c r="H218" s="431">
        <v>150</v>
      </c>
      <c r="I218" s="432">
        <v>0.94</v>
      </c>
      <c r="J218" s="430" t="s">
        <v>927</v>
      </c>
      <c r="K218" s="430" t="s">
        <v>963</v>
      </c>
      <c r="L218" s="431" t="s">
        <v>1244</v>
      </c>
    </row>
    <row r="219" spans="1:12" ht="10.199999999999999" customHeight="1" x14ac:dyDescent="0.2">
      <c r="A219" s="434" t="s">
        <v>1197</v>
      </c>
      <c r="B219" s="433" t="s">
        <v>1420</v>
      </c>
      <c r="C219" s="430" t="s">
        <v>1419</v>
      </c>
      <c r="D219" s="433" t="s">
        <v>1404</v>
      </c>
      <c r="E219" s="431">
        <v>1</v>
      </c>
      <c r="F219" s="431">
        <v>0</v>
      </c>
      <c r="G219" s="431">
        <v>181</v>
      </c>
      <c r="H219" s="431">
        <v>200</v>
      </c>
      <c r="I219" s="432">
        <v>0.90500000000000003</v>
      </c>
      <c r="J219" s="430" t="s">
        <v>927</v>
      </c>
      <c r="K219" s="430" t="s">
        <v>963</v>
      </c>
      <c r="L219" s="431" t="s">
        <v>1244</v>
      </c>
    </row>
    <row r="220" spans="1:12" ht="10.199999999999999" customHeight="1" x14ac:dyDescent="0.2">
      <c r="A220" s="434" t="s">
        <v>1197</v>
      </c>
      <c r="B220" s="433" t="s">
        <v>1418</v>
      </c>
      <c r="C220" s="430" t="s">
        <v>1417</v>
      </c>
      <c r="D220" s="433" t="s">
        <v>1404</v>
      </c>
      <c r="E220" s="431">
        <v>1</v>
      </c>
      <c r="F220" s="431">
        <v>0</v>
      </c>
      <c r="G220" s="431">
        <v>181</v>
      </c>
      <c r="H220" s="431">
        <v>200</v>
      </c>
      <c r="I220" s="432">
        <v>0.90500000000000003</v>
      </c>
      <c r="J220" s="430" t="s">
        <v>927</v>
      </c>
      <c r="K220" s="430" t="s">
        <v>963</v>
      </c>
      <c r="L220" s="431" t="s">
        <v>1244</v>
      </c>
    </row>
    <row r="221" spans="1:12" ht="10.199999999999999" customHeight="1" x14ac:dyDescent="0.2">
      <c r="A221" s="434" t="s">
        <v>1197</v>
      </c>
      <c r="B221" s="433" t="s">
        <v>1416</v>
      </c>
      <c r="C221" s="430" t="s">
        <v>1415</v>
      </c>
      <c r="D221" s="433" t="s">
        <v>1404</v>
      </c>
      <c r="E221" s="431">
        <v>1</v>
      </c>
      <c r="F221" s="431">
        <v>0</v>
      </c>
      <c r="G221" s="431">
        <v>181</v>
      </c>
      <c r="H221" s="431">
        <v>200</v>
      </c>
      <c r="I221" s="432">
        <v>0.90500000000000003</v>
      </c>
      <c r="J221" s="430" t="s">
        <v>927</v>
      </c>
      <c r="K221" s="430" t="s">
        <v>963</v>
      </c>
      <c r="L221" s="431" t="s">
        <v>1244</v>
      </c>
    </row>
    <row r="222" spans="1:12" ht="10.199999999999999" customHeight="1" x14ac:dyDescent="0.2">
      <c r="A222" s="434" t="s">
        <v>1197</v>
      </c>
      <c r="B222" s="433" t="s">
        <v>1414</v>
      </c>
      <c r="C222" s="430" t="s">
        <v>1413</v>
      </c>
      <c r="D222" s="433" t="s">
        <v>1404</v>
      </c>
      <c r="E222" s="431">
        <v>1</v>
      </c>
      <c r="F222" s="431">
        <v>0</v>
      </c>
      <c r="G222" s="431">
        <v>281</v>
      </c>
      <c r="H222" s="431">
        <v>300</v>
      </c>
      <c r="I222" s="432">
        <v>0.93666666666666698</v>
      </c>
      <c r="J222" s="430" t="s">
        <v>927</v>
      </c>
      <c r="K222" s="430" t="s">
        <v>963</v>
      </c>
      <c r="L222" s="431" t="s">
        <v>1244</v>
      </c>
    </row>
    <row r="223" spans="1:12" ht="10.199999999999999" customHeight="1" x14ac:dyDescent="0.2">
      <c r="A223" s="434" t="s">
        <v>1197</v>
      </c>
      <c r="B223" s="433" t="s">
        <v>1412</v>
      </c>
      <c r="C223" s="430" t="s">
        <v>1411</v>
      </c>
      <c r="D223" s="433" t="s">
        <v>1404</v>
      </c>
      <c r="E223" s="431">
        <v>1</v>
      </c>
      <c r="F223" s="431">
        <v>0</v>
      </c>
      <c r="G223" s="431">
        <v>281</v>
      </c>
      <c r="H223" s="431">
        <v>300</v>
      </c>
      <c r="I223" s="432">
        <v>0.93666666666666698</v>
      </c>
      <c r="J223" s="430" t="s">
        <v>927</v>
      </c>
      <c r="K223" s="430" t="s">
        <v>963</v>
      </c>
      <c r="L223" s="431" t="s">
        <v>1244</v>
      </c>
    </row>
    <row r="224" spans="1:12" ht="10.199999999999999" customHeight="1" x14ac:dyDescent="0.2">
      <c r="A224" s="434" t="s">
        <v>1197</v>
      </c>
      <c r="B224" s="433" t="s">
        <v>1410</v>
      </c>
      <c r="C224" s="430" t="s">
        <v>1409</v>
      </c>
      <c r="D224" s="433" t="s">
        <v>1404</v>
      </c>
      <c r="E224" s="431">
        <v>1</v>
      </c>
      <c r="F224" s="431">
        <v>0</v>
      </c>
      <c r="G224" s="431">
        <v>281</v>
      </c>
      <c r="H224" s="431">
        <v>300</v>
      </c>
      <c r="I224" s="432">
        <v>0.93666666666666698</v>
      </c>
      <c r="J224" s="430" t="s">
        <v>927</v>
      </c>
      <c r="K224" s="430" t="s">
        <v>963</v>
      </c>
      <c r="L224" s="431" t="s">
        <v>1244</v>
      </c>
    </row>
    <row r="225" spans="1:12" ht="10.199999999999999" customHeight="1" x14ac:dyDescent="0.2">
      <c r="A225" s="434" t="s">
        <v>1197</v>
      </c>
      <c r="B225" s="433" t="s">
        <v>1408</v>
      </c>
      <c r="C225" s="430" t="s">
        <v>1407</v>
      </c>
      <c r="D225" s="433" t="s">
        <v>1404</v>
      </c>
      <c r="E225" s="431">
        <v>1</v>
      </c>
      <c r="F225" s="431">
        <v>0</v>
      </c>
      <c r="G225" s="431">
        <v>381</v>
      </c>
      <c r="H225" s="431">
        <v>400</v>
      </c>
      <c r="I225" s="432">
        <v>0.95250000000000001</v>
      </c>
      <c r="J225" s="430" t="s">
        <v>927</v>
      </c>
      <c r="K225" s="430" t="s">
        <v>963</v>
      </c>
      <c r="L225" s="431" t="s">
        <v>1244</v>
      </c>
    </row>
    <row r="226" spans="1:12" ht="10.199999999999999" customHeight="1" x14ac:dyDescent="0.2">
      <c r="A226" s="434" t="s">
        <v>1197</v>
      </c>
      <c r="B226" s="433" t="s">
        <v>1406</v>
      </c>
      <c r="C226" s="430" t="s">
        <v>1405</v>
      </c>
      <c r="D226" s="433" t="s">
        <v>1404</v>
      </c>
      <c r="E226" s="431">
        <v>1</v>
      </c>
      <c r="F226" s="431">
        <v>0</v>
      </c>
      <c r="G226" s="431">
        <v>381</v>
      </c>
      <c r="H226" s="431">
        <v>400</v>
      </c>
      <c r="I226" s="432">
        <v>0.95250000000000001</v>
      </c>
      <c r="J226" s="430" t="s">
        <v>927</v>
      </c>
      <c r="K226" s="430" t="s">
        <v>963</v>
      </c>
      <c r="L226" s="431" t="s">
        <v>1244</v>
      </c>
    </row>
    <row r="227" spans="1:12" ht="10.199999999999999" hidden="1" customHeight="1" x14ac:dyDescent="0.2">
      <c r="A227" s="434" t="s">
        <v>1241</v>
      </c>
      <c r="B227" s="433" t="s">
        <v>1255</v>
      </c>
      <c r="C227" s="430" t="s">
        <v>1256</v>
      </c>
      <c r="D227" s="433" t="s">
        <v>1257</v>
      </c>
      <c r="E227" s="431">
        <v>25</v>
      </c>
      <c r="F227" s="431">
        <v>28</v>
      </c>
      <c r="G227" s="431">
        <v>3115</v>
      </c>
      <c r="H227" s="431">
        <v>3132</v>
      </c>
      <c r="I227" s="432">
        <v>0.99457215836526203</v>
      </c>
      <c r="J227" s="430" t="s">
        <v>927</v>
      </c>
      <c r="K227" s="430" t="s">
        <v>936</v>
      </c>
      <c r="L227" s="431" t="s">
        <v>929</v>
      </c>
    </row>
    <row r="228" spans="1:12" ht="10.199999999999999" hidden="1" customHeight="1" x14ac:dyDescent="0.2">
      <c r="A228" s="434" t="s">
        <v>1241</v>
      </c>
      <c r="B228" s="433" t="s">
        <v>1258</v>
      </c>
      <c r="C228" s="430" t="s">
        <v>1259</v>
      </c>
      <c r="D228" s="433" t="s">
        <v>1260</v>
      </c>
      <c r="E228" s="431">
        <v>14</v>
      </c>
      <c r="F228" s="431">
        <v>34</v>
      </c>
      <c r="G228" s="431">
        <v>8364</v>
      </c>
      <c r="H228" s="431">
        <v>10000</v>
      </c>
      <c r="I228" s="432">
        <v>0.83640000000000003</v>
      </c>
      <c r="J228" s="430" t="s">
        <v>927</v>
      </c>
      <c r="K228" s="430" t="s">
        <v>933</v>
      </c>
      <c r="L228" s="431" t="s">
        <v>929</v>
      </c>
    </row>
    <row r="229" spans="1:12" ht="10.199999999999999" hidden="1" customHeight="1" x14ac:dyDescent="0.2">
      <c r="A229" s="434" t="s">
        <v>1241</v>
      </c>
      <c r="B229" s="433" t="s">
        <v>1261</v>
      </c>
      <c r="C229" s="430" t="s">
        <v>1262</v>
      </c>
      <c r="D229" s="433" t="s">
        <v>1058</v>
      </c>
      <c r="E229" s="431">
        <v>82</v>
      </c>
      <c r="F229" s="431">
        <v>283</v>
      </c>
      <c r="G229" s="431">
        <v>27971</v>
      </c>
      <c r="H229" s="431">
        <v>41258</v>
      </c>
      <c r="I229" s="432">
        <v>0.67795336661980699</v>
      </c>
      <c r="J229" s="430" t="s">
        <v>927</v>
      </c>
      <c r="K229" s="430" t="s">
        <v>933</v>
      </c>
      <c r="L229" s="431" t="s">
        <v>929</v>
      </c>
    </row>
    <row r="230" spans="1:12" ht="10.199999999999999" hidden="1" customHeight="1" x14ac:dyDescent="0.2">
      <c r="A230" s="434" t="s">
        <v>1241</v>
      </c>
      <c r="B230" s="433" t="s">
        <v>1263</v>
      </c>
      <c r="C230" s="430" t="s">
        <v>1264</v>
      </c>
      <c r="D230" s="433" t="s">
        <v>1257</v>
      </c>
      <c r="E230" s="431">
        <v>4</v>
      </c>
      <c r="F230" s="431">
        <v>1</v>
      </c>
      <c r="G230" s="431">
        <v>626</v>
      </c>
      <c r="H230" s="431">
        <v>750</v>
      </c>
      <c r="I230" s="432">
        <v>0.834666666666667</v>
      </c>
      <c r="J230" s="430" t="s">
        <v>927</v>
      </c>
      <c r="K230" s="430" t="s">
        <v>933</v>
      </c>
      <c r="L230" s="431" t="s">
        <v>929</v>
      </c>
    </row>
    <row r="231" spans="1:12" ht="10.199999999999999" hidden="1" customHeight="1" x14ac:dyDescent="0.2">
      <c r="A231" s="434" t="s">
        <v>1241</v>
      </c>
      <c r="B231" s="433" t="s">
        <v>1266</v>
      </c>
      <c r="C231" s="430" t="s">
        <v>1267</v>
      </c>
      <c r="D231" s="433" t="s">
        <v>1268</v>
      </c>
      <c r="E231" s="431">
        <v>14</v>
      </c>
      <c r="F231" s="431">
        <v>95</v>
      </c>
      <c r="G231" s="431">
        <v>6073</v>
      </c>
      <c r="H231" s="431">
        <v>8155</v>
      </c>
      <c r="I231" s="432">
        <v>0.74469650521152597</v>
      </c>
      <c r="J231" s="430" t="s">
        <v>927</v>
      </c>
      <c r="K231" s="430" t="s">
        <v>933</v>
      </c>
      <c r="L231" s="431" t="s">
        <v>929</v>
      </c>
    </row>
    <row r="232" spans="1:12" ht="10.199999999999999" hidden="1" customHeight="1" x14ac:dyDescent="0.2">
      <c r="A232" s="434" t="s">
        <v>1241</v>
      </c>
      <c r="B232" s="433" t="s">
        <v>1269</v>
      </c>
      <c r="C232" s="430" t="s">
        <v>1270</v>
      </c>
      <c r="D232" s="433" t="s">
        <v>1058</v>
      </c>
      <c r="E232" s="431">
        <v>2</v>
      </c>
      <c r="F232" s="431">
        <v>2</v>
      </c>
      <c r="G232" s="431">
        <v>161</v>
      </c>
      <c r="H232" s="431">
        <v>91592</v>
      </c>
      <c r="I232" s="432">
        <v>1.7577954406498399E-3</v>
      </c>
      <c r="J232" s="430" t="s">
        <v>927</v>
      </c>
      <c r="K232" s="430" t="s">
        <v>933</v>
      </c>
      <c r="L232" s="431" t="s">
        <v>929</v>
      </c>
    </row>
    <row r="233" spans="1:12" ht="10.199999999999999" hidden="1" customHeight="1" x14ac:dyDescent="0.2">
      <c r="A233" s="434" t="s">
        <v>1271</v>
      </c>
      <c r="B233" s="433" t="s">
        <v>1272</v>
      </c>
      <c r="C233" s="430" t="s">
        <v>1273</v>
      </c>
      <c r="D233" s="433" t="s">
        <v>1274</v>
      </c>
      <c r="E233" s="431">
        <v>2</v>
      </c>
      <c r="F233" s="431">
        <v>56</v>
      </c>
      <c r="G233" s="431">
        <v>2020</v>
      </c>
      <c r="H233" s="431">
        <v>2160</v>
      </c>
      <c r="I233" s="432">
        <v>0.93518518518518501</v>
      </c>
      <c r="J233" s="430" t="s">
        <v>1040</v>
      </c>
      <c r="K233" s="430" t="s">
        <v>1040</v>
      </c>
      <c r="L233" s="431" t="s">
        <v>1040</v>
      </c>
    </row>
    <row r="234" spans="1:12" ht="10.199999999999999" hidden="1" customHeight="1" x14ac:dyDescent="0.2">
      <c r="A234" s="434" t="s">
        <v>1271</v>
      </c>
      <c r="B234" s="433" t="s">
        <v>1275</v>
      </c>
      <c r="C234" s="430" t="s">
        <v>1276</v>
      </c>
      <c r="D234" s="433" t="s">
        <v>1274</v>
      </c>
      <c r="E234" s="431">
        <v>1</v>
      </c>
      <c r="F234" s="431">
        <v>50</v>
      </c>
      <c r="G234" s="431">
        <v>3137</v>
      </c>
      <c r="H234" s="431">
        <v>3480</v>
      </c>
      <c r="I234" s="432">
        <v>0.90143678160919505</v>
      </c>
      <c r="J234" s="430" t="s">
        <v>1040</v>
      </c>
      <c r="K234" s="430" t="s">
        <v>1040</v>
      </c>
      <c r="L234" s="431" t="s">
        <v>1040</v>
      </c>
    </row>
    <row r="235" spans="1:12" ht="10.199999999999999" hidden="1" customHeight="1" x14ac:dyDescent="0.2">
      <c r="A235" s="434" t="s">
        <v>1271</v>
      </c>
      <c r="B235" s="433" t="s">
        <v>1277</v>
      </c>
      <c r="C235" s="430" t="s">
        <v>1278</v>
      </c>
      <c r="D235" s="433" t="s">
        <v>1274</v>
      </c>
      <c r="E235" s="431">
        <v>1</v>
      </c>
      <c r="F235" s="431">
        <v>50</v>
      </c>
      <c r="G235" s="431">
        <v>3137</v>
      </c>
      <c r="H235" s="431">
        <v>3480</v>
      </c>
      <c r="I235" s="432">
        <v>0.90143678160919505</v>
      </c>
      <c r="J235" s="430" t="s">
        <v>1040</v>
      </c>
      <c r="K235" s="430" t="s">
        <v>1040</v>
      </c>
      <c r="L235" s="431" t="s">
        <v>1040</v>
      </c>
    </row>
    <row r="236" spans="1:12" ht="10.199999999999999" hidden="1" customHeight="1" x14ac:dyDescent="0.2">
      <c r="A236" s="434" t="s">
        <v>1271</v>
      </c>
      <c r="B236" s="433" t="s">
        <v>1279</v>
      </c>
      <c r="C236" s="430" t="s">
        <v>1280</v>
      </c>
      <c r="D236" s="433" t="s">
        <v>1274</v>
      </c>
      <c r="E236" s="431">
        <v>1</v>
      </c>
      <c r="F236" s="431">
        <v>45</v>
      </c>
      <c r="G236" s="431">
        <v>2049</v>
      </c>
      <c r="H236" s="431">
        <v>2160</v>
      </c>
      <c r="I236" s="432">
        <v>0.94861111111111096</v>
      </c>
      <c r="J236" s="430" t="s">
        <v>927</v>
      </c>
      <c r="K236" s="430" t="s">
        <v>963</v>
      </c>
      <c r="L236" s="431" t="s">
        <v>929</v>
      </c>
    </row>
    <row r="237" spans="1:12" ht="10.199999999999999" hidden="1" customHeight="1" x14ac:dyDescent="0.2">
      <c r="A237" s="434" t="s">
        <v>1271</v>
      </c>
      <c r="B237" s="433" t="s">
        <v>1281</v>
      </c>
      <c r="C237" s="430" t="s">
        <v>1282</v>
      </c>
      <c r="D237" s="433" t="s">
        <v>1274</v>
      </c>
      <c r="E237" s="431">
        <v>1</v>
      </c>
      <c r="F237" s="431">
        <v>45</v>
      </c>
      <c r="G237" s="431">
        <v>2049</v>
      </c>
      <c r="H237" s="431">
        <v>2160</v>
      </c>
      <c r="I237" s="432">
        <v>0.94861111111111096</v>
      </c>
      <c r="J237" s="430" t="s">
        <v>1283</v>
      </c>
      <c r="K237" s="430" t="s">
        <v>963</v>
      </c>
      <c r="L237" s="431" t="s">
        <v>929</v>
      </c>
    </row>
    <row r="238" spans="1:12" ht="10.199999999999999" hidden="1" customHeight="1" x14ac:dyDescent="0.2">
      <c r="A238" s="434" t="s">
        <v>1271</v>
      </c>
      <c r="B238" s="433" t="s">
        <v>1284</v>
      </c>
      <c r="C238" s="430" t="s">
        <v>1285</v>
      </c>
      <c r="D238" s="433" t="s">
        <v>1274</v>
      </c>
      <c r="E238" s="431">
        <v>1</v>
      </c>
      <c r="F238" s="431">
        <v>30</v>
      </c>
      <c r="G238" s="431">
        <v>1342</v>
      </c>
      <c r="H238" s="431">
        <v>1440</v>
      </c>
      <c r="I238" s="432">
        <v>0.93194444444444402</v>
      </c>
      <c r="J238" s="430" t="s">
        <v>1283</v>
      </c>
      <c r="K238" s="430" t="s">
        <v>963</v>
      </c>
      <c r="L238" s="431" t="s">
        <v>929</v>
      </c>
    </row>
    <row r="239" spans="1:12" ht="10.199999999999999" hidden="1" customHeight="1" x14ac:dyDescent="0.2">
      <c r="A239" s="434" t="s">
        <v>1271</v>
      </c>
      <c r="B239" s="433" t="s">
        <v>1286</v>
      </c>
      <c r="C239" s="430" t="s">
        <v>1287</v>
      </c>
      <c r="D239" s="433" t="s">
        <v>1274</v>
      </c>
      <c r="E239" s="431">
        <v>1</v>
      </c>
      <c r="F239" s="431">
        <v>30</v>
      </c>
      <c r="G239" s="431">
        <v>703</v>
      </c>
      <c r="H239" s="431">
        <v>2000</v>
      </c>
      <c r="I239" s="432">
        <v>0.35149999999999998</v>
      </c>
      <c r="J239" s="430" t="s">
        <v>1040</v>
      </c>
      <c r="K239" s="430" t="s">
        <v>1040</v>
      </c>
      <c r="L239" s="431" t="s">
        <v>1040</v>
      </c>
    </row>
    <row r="240" spans="1:12" ht="10.199999999999999" hidden="1" customHeight="1" x14ac:dyDescent="0.2">
      <c r="A240" s="434" t="s">
        <v>1271</v>
      </c>
      <c r="B240" s="433" t="s">
        <v>1288</v>
      </c>
      <c r="C240" s="430" t="s">
        <v>1289</v>
      </c>
      <c r="D240" s="433" t="s">
        <v>1113</v>
      </c>
      <c r="E240" s="431">
        <v>11</v>
      </c>
      <c r="F240" s="431">
        <v>13</v>
      </c>
      <c r="G240" s="431">
        <v>3026</v>
      </c>
      <c r="H240" s="431">
        <v>4000</v>
      </c>
      <c r="I240" s="432">
        <v>0.75649999999999995</v>
      </c>
      <c r="J240" s="430" t="s">
        <v>1290</v>
      </c>
      <c r="K240" s="430" t="s">
        <v>933</v>
      </c>
      <c r="L240" s="431" t="s">
        <v>929</v>
      </c>
    </row>
    <row r="241" spans="1:12" ht="10.199999999999999" hidden="1" customHeight="1" x14ac:dyDescent="0.2">
      <c r="A241" s="434" t="s">
        <v>1271</v>
      </c>
      <c r="B241" s="433" t="s">
        <v>1291</v>
      </c>
      <c r="C241" s="430" t="s">
        <v>1292</v>
      </c>
      <c r="D241" s="433" t="s">
        <v>1116</v>
      </c>
      <c r="E241" s="431">
        <v>30</v>
      </c>
      <c r="F241" s="431">
        <v>279</v>
      </c>
      <c r="G241" s="431">
        <v>9692</v>
      </c>
      <c r="H241" s="431">
        <v>13650</v>
      </c>
      <c r="I241" s="432">
        <v>0.71003663003662998</v>
      </c>
      <c r="J241" s="430" t="s">
        <v>927</v>
      </c>
      <c r="K241" s="430" t="s">
        <v>933</v>
      </c>
      <c r="L241" s="431" t="s">
        <v>929</v>
      </c>
    </row>
    <row r="242" spans="1:12" ht="10.199999999999999" hidden="1" customHeight="1" x14ac:dyDescent="0.2">
      <c r="A242" s="434" t="s">
        <v>1271</v>
      </c>
      <c r="B242" s="433" t="s">
        <v>1293</v>
      </c>
      <c r="C242" s="430" t="s">
        <v>1294</v>
      </c>
      <c r="D242" s="433" t="s">
        <v>1274</v>
      </c>
      <c r="E242" s="431">
        <v>5</v>
      </c>
      <c r="F242" s="431">
        <v>9</v>
      </c>
      <c r="G242" s="431">
        <v>1979</v>
      </c>
      <c r="H242" s="431">
        <v>2160</v>
      </c>
      <c r="I242" s="432">
        <v>0.91620370370370396</v>
      </c>
      <c r="J242" s="430" t="s">
        <v>927</v>
      </c>
      <c r="K242" s="430" t="s">
        <v>933</v>
      </c>
      <c r="L242" s="431" t="s">
        <v>929</v>
      </c>
    </row>
  </sheetData>
  <sheetProtection algorithmName="SHA-512" hashValue="DpdlPKqzfGMl7Hz/8puOQcnx+SZDj3hyMHnvwvHbSZ8meTiXU9CU+P3C/5uBLfHM7PqmJQsh+nT1c2l6tAYFAQ==" saltValue="Ode4NH19yB8ospT9NZ4cdQ==" spinCount="100000" sheet="1" objects="1" scenarios="1"/>
  <autoFilter ref="A13:L242" xr:uid="{00000000-0009-0000-0000-000000000000}">
    <filterColumn colId="0">
      <filters>
        <filter val="963 - Norco College"/>
      </filters>
    </filterColumn>
  </autoFilter>
  <mergeCells count="3">
    <mergeCell ref="F1:L1"/>
    <mergeCell ref="A11:L11"/>
    <mergeCell ref="A1:D1"/>
  </mergeCells>
  <printOptions horizontalCentered="1"/>
  <pageMargins left="0.5" right="0.5" top="0.4" bottom="0.75" header="0.3" footer="0.3"/>
  <pageSetup orientation="landscape" horizontalDpi="300" verticalDpi="300" r:id="rId1"/>
  <headerFooter>
    <oddFooter>&amp;L&amp;"Arial,Regular"&amp;8Report Generated: &amp;D&amp;R&amp;"Arial,Regular"&amp;8Page &amp;P / &amp;N</oddFooter>
  </headerFooter>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73216-DA9E-4554-ABB8-61FB479D55F2}">
  <sheetPr codeName="Sheet19">
    <pageSetUpPr fitToPage="1"/>
  </sheetPr>
  <dimension ref="B1:V67"/>
  <sheetViews>
    <sheetView zoomScale="80" zoomScaleNormal="80" workbookViewId="0">
      <selection activeCell="A59" sqref="A59:C59"/>
    </sheetView>
  </sheetViews>
  <sheetFormatPr defaultColWidth="9.109375" defaultRowHeight="13.2" x14ac:dyDescent="0.25"/>
  <cols>
    <col min="1" max="1" width="1.33203125" style="352" customWidth="1"/>
    <col min="2" max="2" width="3.33203125" style="352" customWidth="1"/>
    <col min="3" max="3" width="37.6640625" style="352" customWidth="1"/>
    <col min="4" max="4" width="1.6640625" style="352" customWidth="1"/>
    <col min="5" max="6" width="9.6640625" style="352" customWidth="1"/>
    <col min="7" max="7" width="41.6640625" style="352" customWidth="1"/>
    <col min="8" max="8" width="2.6640625" style="352" customWidth="1"/>
    <col min="9" max="9" width="10.6640625" style="352" hidden="1" customWidth="1"/>
    <col min="10" max="11" width="8.6640625" style="352" hidden="1" customWidth="1"/>
    <col min="12" max="12" width="1.6640625" style="352" hidden="1" customWidth="1"/>
    <col min="13" max="15" width="8.6640625" style="352" hidden="1" customWidth="1"/>
    <col min="16" max="16" width="1.6640625" style="352" customWidth="1"/>
    <col min="17" max="17" width="9.5546875" style="352" bestFit="1" customWidth="1"/>
    <col min="18" max="19" width="8.6640625" style="352" customWidth="1"/>
    <col min="20" max="21" width="9.109375" style="352"/>
    <col min="22" max="22" width="9.109375" style="352" customWidth="1"/>
    <col min="23" max="16384" width="9.109375" style="352"/>
  </cols>
  <sheetData>
    <row r="1" spans="2:22" s="354" customFormat="1" ht="13.8" x14ac:dyDescent="0.25">
      <c r="B1" s="501" t="s">
        <v>793</v>
      </c>
      <c r="C1" s="501"/>
      <c r="D1" s="501"/>
      <c r="E1" s="501"/>
      <c r="F1" s="501"/>
      <c r="G1" s="501"/>
      <c r="H1" s="501"/>
      <c r="I1" s="501"/>
      <c r="J1" s="501"/>
      <c r="K1" s="501"/>
      <c r="L1" s="501"/>
      <c r="M1" s="501"/>
      <c r="N1" s="501"/>
      <c r="O1" s="501"/>
      <c r="P1" s="501"/>
      <c r="Q1" s="501"/>
      <c r="R1" s="501"/>
      <c r="S1" s="501"/>
      <c r="V1" s="354" t="s">
        <v>1480</v>
      </c>
    </row>
    <row r="2" spans="2:22" s="354" customFormat="1" ht="13.8" x14ac:dyDescent="0.25">
      <c r="B2" s="501" t="s">
        <v>794</v>
      </c>
      <c r="C2" s="501"/>
      <c r="D2" s="501"/>
      <c r="E2" s="501"/>
      <c r="F2" s="501"/>
      <c r="G2" s="501"/>
      <c r="H2" s="501"/>
      <c r="I2" s="501"/>
      <c r="J2" s="501"/>
      <c r="K2" s="501"/>
      <c r="L2" s="501"/>
      <c r="M2" s="501"/>
      <c r="N2" s="501"/>
      <c r="O2" s="501"/>
      <c r="P2" s="501"/>
      <c r="Q2" s="501"/>
      <c r="R2" s="501"/>
      <c r="S2" s="501"/>
    </row>
    <row r="3" spans="2:22" s="354" customFormat="1" ht="14.4" thickBot="1" x14ac:dyDescent="0.3">
      <c r="B3" s="502" t="s">
        <v>795</v>
      </c>
      <c r="C3" s="502"/>
      <c r="D3" s="502"/>
      <c r="E3" s="502"/>
      <c r="F3" s="502"/>
      <c r="G3" s="502"/>
      <c r="H3" s="502"/>
      <c r="I3" s="502"/>
      <c r="J3" s="502"/>
      <c r="K3" s="502"/>
      <c r="L3" s="502"/>
      <c r="M3" s="502"/>
      <c r="N3" s="502"/>
      <c r="O3" s="502"/>
      <c r="P3" s="502"/>
      <c r="Q3" s="502"/>
      <c r="R3" s="502"/>
      <c r="S3" s="502"/>
    </row>
    <row r="4" spans="2:22" s="354" customFormat="1" x14ac:dyDescent="0.25">
      <c r="I4" s="503" t="s">
        <v>796</v>
      </c>
      <c r="J4" s="503"/>
      <c r="K4" s="503"/>
      <c r="M4" s="503" t="s">
        <v>796</v>
      </c>
      <c r="N4" s="503"/>
      <c r="O4" s="503"/>
      <c r="Q4" s="503" t="s">
        <v>797</v>
      </c>
      <c r="R4" s="503"/>
      <c r="S4" s="503"/>
    </row>
    <row r="5" spans="2:22" s="354" customFormat="1" x14ac:dyDescent="0.25">
      <c r="I5" s="505" t="s">
        <v>798</v>
      </c>
      <c r="J5" s="505"/>
      <c r="K5" s="505"/>
      <c r="L5" s="367"/>
      <c r="M5" s="505" t="s">
        <v>799</v>
      </c>
      <c r="N5" s="505"/>
      <c r="O5" s="505"/>
      <c r="P5" s="367"/>
      <c r="Q5" s="505" t="s">
        <v>800</v>
      </c>
      <c r="R5" s="505"/>
      <c r="S5" s="505"/>
    </row>
    <row r="6" spans="2:22" s="354" customFormat="1" x14ac:dyDescent="0.25">
      <c r="B6" s="366" t="s">
        <v>801</v>
      </c>
      <c r="C6" s="366"/>
      <c r="D6" s="367"/>
      <c r="E6" s="505" t="s">
        <v>795</v>
      </c>
      <c r="F6" s="505"/>
      <c r="G6" s="505"/>
      <c r="H6" s="367"/>
      <c r="I6" s="385" t="s">
        <v>802</v>
      </c>
      <c r="J6" s="384" t="s">
        <v>803</v>
      </c>
      <c r="K6" s="385" t="s">
        <v>804</v>
      </c>
      <c r="L6" s="367"/>
      <c r="M6" s="385" t="s">
        <v>802</v>
      </c>
      <c r="N6" s="384" t="s">
        <v>803</v>
      </c>
      <c r="O6" s="385" t="s">
        <v>804</v>
      </c>
      <c r="P6" s="367"/>
      <c r="Q6" s="384" t="s">
        <v>802</v>
      </c>
      <c r="R6" s="384" t="s">
        <v>803</v>
      </c>
      <c r="S6" s="384" t="s">
        <v>804</v>
      </c>
    </row>
    <row r="7" spans="2:22" s="354" customFormat="1" x14ac:dyDescent="0.25">
      <c r="B7" s="375" t="s">
        <v>805</v>
      </c>
      <c r="I7" s="381"/>
      <c r="J7" s="381"/>
      <c r="K7" s="374"/>
      <c r="M7" s="381"/>
      <c r="N7" s="381"/>
      <c r="O7" s="374"/>
      <c r="Q7" s="381"/>
      <c r="R7" s="381"/>
      <c r="S7" s="374"/>
    </row>
    <row r="8" spans="2:22" s="354" customFormat="1" ht="13.8" x14ac:dyDescent="0.3">
      <c r="B8" s="363"/>
      <c r="C8" s="363" t="s">
        <v>806</v>
      </c>
      <c r="D8" s="363"/>
      <c r="E8" s="373" t="s">
        <v>807</v>
      </c>
      <c r="F8" s="372"/>
      <c r="G8" s="383" t="s">
        <v>808</v>
      </c>
      <c r="H8" s="363"/>
      <c r="I8" s="379">
        <f>26+4+2</f>
        <v>32</v>
      </c>
      <c r="J8" s="379" t="e">
        <f>(I25/16700)</f>
        <v>#REF!</v>
      </c>
      <c r="K8" s="380" t="e">
        <f>I8-J8</f>
        <v>#REF!</v>
      </c>
      <c r="M8" s="379">
        <f>9+1</f>
        <v>10</v>
      </c>
      <c r="N8" s="379" t="e">
        <f>M25/16700</f>
        <v>#REF!</v>
      </c>
      <c r="O8" s="371" t="e">
        <f>M8-N8</f>
        <v>#REF!</v>
      </c>
      <c r="Q8" s="379">
        <f>10.475+1</f>
        <v>11.475</v>
      </c>
      <c r="R8" s="379">
        <f>Q25/16700</f>
        <v>15.600479041916168</v>
      </c>
      <c r="S8" s="371">
        <f>Q8-R8</f>
        <v>-4.1254790419161687</v>
      </c>
      <c r="U8" s="223"/>
    </row>
    <row r="9" spans="2:22" s="354" customFormat="1" x14ac:dyDescent="0.25">
      <c r="B9" s="355"/>
      <c r="C9" s="355"/>
      <c r="D9" s="355"/>
      <c r="G9" s="355"/>
      <c r="H9" s="355"/>
      <c r="I9" s="3"/>
      <c r="J9" s="4"/>
      <c r="K9" s="376"/>
      <c r="M9" s="1"/>
      <c r="N9" s="2"/>
      <c r="O9" s="374"/>
      <c r="Q9" s="1"/>
      <c r="R9" s="1"/>
      <c r="S9" s="374"/>
    </row>
    <row r="10" spans="2:22" s="354" customFormat="1" x14ac:dyDescent="0.25">
      <c r="B10" s="375" t="s">
        <v>809</v>
      </c>
      <c r="I10" s="381"/>
      <c r="J10" s="381"/>
      <c r="K10" s="374"/>
      <c r="M10" s="381"/>
      <c r="N10" s="381"/>
      <c r="O10" s="382"/>
      <c r="Q10" s="381"/>
      <c r="R10" s="381"/>
      <c r="S10" s="374"/>
    </row>
    <row r="11" spans="2:22" s="354" customFormat="1" x14ac:dyDescent="0.25">
      <c r="B11" s="363"/>
      <c r="C11" s="363" t="s">
        <v>810</v>
      </c>
      <c r="D11" s="363"/>
      <c r="E11" s="363" t="s">
        <v>811</v>
      </c>
      <c r="F11" s="363"/>
      <c r="G11" s="363"/>
      <c r="H11" s="363"/>
      <c r="I11" s="379">
        <f>2+1+9-1+1</f>
        <v>12</v>
      </c>
      <c r="J11" s="379">
        <f>I26/10</f>
        <v>10.1</v>
      </c>
      <c r="K11" s="380">
        <f>I11-J11</f>
        <v>1.9000000000000004</v>
      </c>
      <c r="M11" s="379">
        <f>1+4+1</f>
        <v>6</v>
      </c>
      <c r="N11" s="379">
        <f>M26/10</f>
        <v>9.5</v>
      </c>
      <c r="O11" s="371">
        <f>M11-N11</f>
        <v>-3.5</v>
      </c>
      <c r="Q11" s="379">
        <f>2+1</f>
        <v>3</v>
      </c>
      <c r="R11" s="379">
        <f>Q26/10</f>
        <v>5.64</v>
      </c>
      <c r="S11" s="371">
        <f>Q11-R11</f>
        <v>-2.6399999999999997</v>
      </c>
    </row>
    <row r="12" spans="2:22" s="354" customFormat="1" x14ac:dyDescent="0.25">
      <c r="B12" s="361"/>
      <c r="C12" s="361" t="s">
        <v>810</v>
      </c>
      <c r="D12" s="361"/>
      <c r="E12" s="361" t="s">
        <v>812</v>
      </c>
      <c r="F12" s="361"/>
      <c r="G12" s="361"/>
      <c r="H12" s="361"/>
      <c r="I12" s="5">
        <v>0</v>
      </c>
      <c r="J12" s="5">
        <v>0</v>
      </c>
      <c r="K12" s="377">
        <f>I12-J12</f>
        <v>0</v>
      </c>
      <c r="M12" s="5">
        <v>0</v>
      </c>
      <c r="N12" s="5">
        <f>M27/50</f>
        <v>0.24</v>
      </c>
      <c r="O12" s="370">
        <f>M12-N12</f>
        <v>-0.24</v>
      </c>
      <c r="Q12" s="5">
        <v>0</v>
      </c>
      <c r="R12" s="5">
        <f>Q27/50</f>
        <v>1.472</v>
      </c>
      <c r="S12" s="370">
        <f>Q12-R12</f>
        <v>-1.472</v>
      </c>
    </row>
    <row r="13" spans="2:22" s="354" customFormat="1" x14ac:dyDescent="0.25">
      <c r="B13" s="361"/>
      <c r="C13" s="361" t="s">
        <v>813</v>
      </c>
      <c r="D13" s="361"/>
      <c r="E13" s="361" t="s">
        <v>814</v>
      </c>
      <c r="F13" s="361"/>
      <c r="G13" s="361"/>
      <c r="H13" s="361"/>
      <c r="I13" s="5">
        <v>2</v>
      </c>
      <c r="J13" s="5">
        <f>I28/10</f>
        <v>1.7</v>
      </c>
      <c r="K13" s="378">
        <f>I13-J13</f>
        <v>0.30000000000000004</v>
      </c>
      <c r="M13" s="5">
        <v>0</v>
      </c>
      <c r="N13" s="5">
        <f>M28/10</f>
        <v>2.5</v>
      </c>
      <c r="O13" s="370">
        <f>M13-N13</f>
        <v>-2.5</v>
      </c>
      <c r="Q13" s="5">
        <v>1</v>
      </c>
      <c r="R13" s="5">
        <f>Q28/10</f>
        <v>1.1000000000000001</v>
      </c>
      <c r="S13" s="370">
        <f>Q13-R13</f>
        <v>-0.10000000000000009</v>
      </c>
    </row>
    <row r="14" spans="2:22" s="354" customFormat="1" x14ac:dyDescent="0.25">
      <c r="B14" s="361"/>
      <c r="C14" s="361" t="s">
        <v>815</v>
      </c>
      <c r="D14" s="361"/>
      <c r="E14" s="361" t="s">
        <v>816</v>
      </c>
      <c r="F14" s="361"/>
      <c r="G14" s="361"/>
      <c r="H14" s="361"/>
      <c r="I14" s="5">
        <v>0</v>
      </c>
      <c r="J14" s="5">
        <v>2</v>
      </c>
      <c r="K14" s="370">
        <f>I14-J14</f>
        <v>-2</v>
      </c>
      <c r="M14" s="5">
        <v>0</v>
      </c>
      <c r="N14" s="5">
        <v>0</v>
      </c>
      <c r="O14" s="377">
        <f>M14-N14</f>
        <v>0</v>
      </c>
      <c r="Q14" s="5">
        <v>0</v>
      </c>
      <c r="R14" s="5">
        <v>0</v>
      </c>
      <c r="S14" s="377">
        <f>Q14-R14</f>
        <v>0</v>
      </c>
    </row>
    <row r="15" spans="2:22" s="354" customFormat="1" x14ac:dyDescent="0.25">
      <c r="B15" s="361"/>
      <c r="C15" s="361" t="s">
        <v>817</v>
      </c>
      <c r="D15" s="361"/>
      <c r="E15" s="361" t="s">
        <v>818</v>
      </c>
      <c r="F15" s="361"/>
      <c r="G15" s="361"/>
      <c r="H15" s="361"/>
      <c r="I15" s="5">
        <v>1</v>
      </c>
      <c r="J15" s="5">
        <v>1</v>
      </c>
      <c r="K15" s="377">
        <f>I15-J15</f>
        <v>0</v>
      </c>
      <c r="M15" s="5">
        <v>0</v>
      </c>
      <c r="N15" s="5">
        <v>0</v>
      </c>
      <c r="O15" s="377">
        <v>0</v>
      </c>
      <c r="Q15" s="5">
        <v>0</v>
      </c>
      <c r="R15" s="5">
        <v>0</v>
      </c>
      <c r="S15" s="377">
        <v>0</v>
      </c>
    </row>
    <row r="16" spans="2:22" s="354" customFormat="1" x14ac:dyDescent="0.25">
      <c r="B16" s="355"/>
      <c r="C16" s="355"/>
      <c r="D16" s="355"/>
      <c r="E16" s="355"/>
      <c r="F16" s="355"/>
      <c r="G16" s="355"/>
      <c r="H16" s="355"/>
      <c r="I16" s="3"/>
      <c r="J16" s="4"/>
      <c r="K16" s="376"/>
      <c r="M16" s="1"/>
      <c r="N16" s="2"/>
      <c r="O16" s="374"/>
      <c r="Q16" s="1"/>
      <c r="R16" s="1"/>
      <c r="S16" s="374"/>
    </row>
    <row r="17" spans="2:19" s="354" customFormat="1" x14ac:dyDescent="0.25">
      <c r="B17" s="375" t="s">
        <v>819</v>
      </c>
      <c r="I17" s="1"/>
      <c r="J17" s="2"/>
      <c r="K17" s="374"/>
      <c r="M17" s="1"/>
      <c r="N17" s="2"/>
      <c r="O17" s="374"/>
      <c r="Q17" s="1"/>
      <c r="R17" s="1"/>
      <c r="S17" s="374"/>
    </row>
    <row r="18" spans="2:19" s="354" customFormat="1" x14ac:dyDescent="0.25">
      <c r="B18" s="363"/>
      <c r="C18" s="363" t="s">
        <v>820</v>
      </c>
      <c r="D18" s="363"/>
      <c r="E18" s="373" t="s">
        <v>821</v>
      </c>
      <c r="F18" s="372"/>
      <c r="G18" s="363"/>
      <c r="H18" s="363"/>
      <c r="I18" s="7">
        <f>10</f>
        <v>10</v>
      </c>
      <c r="J18" s="7" t="e">
        <f>I25/67456</f>
        <v>#REF!</v>
      </c>
      <c r="K18" s="371" t="e">
        <f>I18-J18</f>
        <v>#REF!</v>
      </c>
      <c r="M18" s="7">
        <v>3</v>
      </c>
      <c r="N18" s="7" t="e">
        <f>M25/67456</f>
        <v>#REF!</v>
      </c>
      <c r="O18" s="371" t="e">
        <f>M18-N18</f>
        <v>#REF!</v>
      </c>
      <c r="Q18" s="7">
        <v>4</v>
      </c>
      <c r="R18" s="7">
        <f>Q25/67456</f>
        <v>3.86219165085389</v>
      </c>
      <c r="S18" s="371">
        <f>Q18-R18</f>
        <v>0.13780834914610995</v>
      </c>
    </row>
    <row r="19" spans="2:19" s="354" customFormat="1" x14ac:dyDescent="0.25">
      <c r="B19" s="361"/>
      <c r="C19" s="361" t="s">
        <v>822</v>
      </c>
      <c r="D19" s="361"/>
      <c r="E19" s="363" t="s">
        <v>823</v>
      </c>
      <c r="F19" s="363"/>
      <c r="G19" s="361"/>
      <c r="H19" s="361"/>
      <c r="I19" s="5">
        <v>0</v>
      </c>
      <c r="J19" s="5">
        <v>2</v>
      </c>
      <c r="K19" s="370">
        <f>I19-J19</f>
        <v>-2</v>
      </c>
      <c r="M19" s="5">
        <v>0</v>
      </c>
      <c r="N19" s="5">
        <v>2</v>
      </c>
      <c r="O19" s="370">
        <f>M19-N19</f>
        <v>-2</v>
      </c>
      <c r="Q19" s="5">
        <v>0</v>
      </c>
      <c r="R19" s="5">
        <v>2</v>
      </c>
      <c r="S19" s="370">
        <f>Q19-R19</f>
        <v>-2</v>
      </c>
    </row>
    <row r="20" spans="2:19" s="354" customFormat="1" x14ac:dyDescent="0.25">
      <c r="B20" s="355"/>
      <c r="C20" s="355"/>
      <c r="D20" s="355"/>
      <c r="E20" s="355"/>
      <c r="F20" s="355"/>
      <c r="G20" s="355"/>
      <c r="H20" s="355"/>
      <c r="I20" s="5"/>
      <c r="J20" s="6"/>
      <c r="K20" s="9"/>
      <c r="M20" s="7"/>
      <c r="N20" s="8"/>
      <c r="O20" s="10"/>
      <c r="Q20" s="7"/>
      <c r="R20" s="8"/>
      <c r="S20" s="10"/>
    </row>
    <row r="21" spans="2:19" s="354" customFormat="1" x14ac:dyDescent="0.25">
      <c r="B21" s="363"/>
      <c r="C21" s="363"/>
      <c r="D21" s="368"/>
      <c r="E21" s="369"/>
      <c r="F21" s="369"/>
      <c r="G21" s="369" t="s">
        <v>824</v>
      </c>
      <c r="H21" s="368"/>
      <c r="I21" s="11">
        <f>SUM(I7:I20)</f>
        <v>57</v>
      </c>
      <c r="J21" s="12" t="e">
        <f>SUM(J7:J20)</f>
        <v>#REF!</v>
      </c>
      <c r="K21" s="13" t="e">
        <f>SUM(K7:K20)</f>
        <v>#REF!</v>
      </c>
      <c r="L21" s="367"/>
      <c r="M21" s="11">
        <f>SUM(M7:M20)</f>
        <v>19</v>
      </c>
      <c r="N21" s="12" t="e">
        <f>SUM(N7:N20)</f>
        <v>#REF!</v>
      </c>
      <c r="O21" s="13" t="e">
        <f>SUM(O7:O20)</f>
        <v>#REF!</v>
      </c>
      <c r="P21" s="367"/>
      <c r="Q21" s="11">
        <f>SUM(Q7:Q20)</f>
        <v>19.475000000000001</v>
      </c>
      <c r="R21" s="12">
        <f>SUM(R7:R20)</f>
        <v>29.674670692770061</v>
      </c>
      <c r="S21" s="13">
        <f>SUM(S7:S20)</f>
        <v>-10.199670692770059</v>
      </c>
    </row>
    <row r="22" spans="2:19" s="354" customFormat="1" x14ac:dyDescent="0.25">
      <c r="B22" s="507" t="s">
        <v>825</v>
      </c>
      <c r="C22" s="507"/>
      <c r="K22" s="14" t="e">
        <f>I21/J21</f>
        <v>#REF!</v>
      </c>
      <c r="M22" s="355"/>
      <c r="N22" s="355"/>
      <c r="O22" s="15" t="e">
        <f>M21/N21</f>
        <v>#REF!</v>
      </c>
      <c r="Q22" s="355"/>
      <c r="R22" s="355"/>
      <c r="S22" s="14">
        <f>Q21/R21</f>
        <v>0.65628360973673394</v>
      </c>
    </row>
    <row r="23" spans="2:19" s="354" customFormat="1" ht="12.9" customHeight="1" x14ac:dyDescent="0.25">
      <c r="B23" s="508" t="s">
        <v>826</v>
      </c>
      <c r="C23" s="511" t="s">
        <v>827</v>
      </c>
      <c r="E23" s="366" t="s">
        <v>828</v>
      </c>
      <c r="F23" s="366"/>
      <c r="G23" s="366"/>
      <c r="H23" s="365"/>
      <c r="I23" s="365"/>
      <c r="J23" s="365"/>
      <c r="K23" s="365"/>
      <c r="L23" s="365"/>
      <c r="M23" s="365"/>
      <c r="N23" s="365"/>
      <c r="O23" s="365"/>
      <c r="P23" s="365"/>
      <c r="Q23" s="365"/>
      <c r="R23" s="365"/>
      <c r="S23" s="365"/>
    </row>
    <row r="24" spans="2:19" s="354" customFormat="1" ht="12.9" customHeight="1" x14ac:dyDescent="0.25">
      <c r="B24" s="509"/>
      <c r="C24" s="512"/>
      <c r="E24" s="364" t="s">
        <v>1479</v>
      </c>
      <c r="F24" s="364"/>
      <c r="G24" s="364"/>
      <c r="I24" s="16" t="e">
        <f>#REF!</f>
        <v>#REF!</v>
      </c>
      <c r="J24" s="95"/>
      <c r="K24" s="358"/>
      <c r="M24" s="16" t="e">
        <f>#REF!</f>
        <v>#REF!</v>
      </c>
      <c r="N24" s="95"/>
      <c r="O24" s="358"/>
      <c r="Q24" s="16">
        <f>'All Building Summary'!G215</f>
        <v>8008</v>
      </c>
      <c r="R24" s="95"/>
      <c r="S24" s="358"/>
    </row>
    <row r="25" spans="2:19" s="354" customFormat="1" ht="42" customHeight="1" x14ac:dyDescent="0.25">
      <c r="B25" s="510"/>
      <c r="C25" s="513"/>
      <c r="E25" s="363" t="s">
        <v>829</v>
      </c>
      <c r="F25" s="363"/>
      <c r="G25" s="363"/>
      <c r="I25" s="17" t="e">
        <f>#REF!</f>
        <v>#REF!</v>
      </c>
      <c r="J25" s="95"/>
      <c r="K25" s="358"/>
      <c r="M25" s="17" t="e">
        <f>#REF!</f>
        <v>#REF!</v>
      </c>
      <c r="N25" s="95"/>
      <c r="O25" s="358"/>
      <c r="Q25" s="17">
        <f>'All Building Summary'!H6</f>
        <v>260528</v>
      </c>
      <c r="R25" s="95"/>
      <c r="S25" s="358"/>
    </row>
    <row r="26" spans="2:19" s="354" customFormat="1" x14ac:dyDescent="0.25">
      <c r="B26" s="508" t="s">
        <v>830</v>
      </c>
      <c r="C26" s="514" t="s">
        <v>831</v>
      </c>
      <c r="E26" s="361" t="s">
        <v>832</v>
      </c>
      <c r="F26" s="361"/>
      <c r="G26" s="361"/>
      <c r="I26" s="96">
        <v>101</v>
      </c>
      <c r="J26" s="358"/>
      <c r="K26" s="358"/>
      <c r="M26" s="96">
        <v>95</v>
      </c>
      <c r="N26" s="358"/>
      <c r="O26" s="358"/>
      <c r="Q26" s="287">
        <v>56.4</v>
      </c>
      <c r="R26" s="358"/>
      <c r="S26" s="358"/>
    </row>
    <row r="27" spans="2:19" s="354" customFormat="1" x14ac:dyDescent="0.25">
      <c r="B27" s="509"/>
      <c r="C27" s="515"/>
      <c r="E27" s="361" t="s">
        <v>833</v>
      </c>
      <c r="F27" s="361"/>
      <c r="G27" s="361"/>
      <c r="I27" s="96">
        <v>0</v>
      </c>
      <c r="J27" s="358"/>
      <c r="K27" s="358"/>
      <c r="M27" s="96">
        <f>M29-M28-M26</f>
        <v>12</v>
      </c>
      <c r="N27" s="358"/>
      <c r="O27" s="358"/>
      <c r="Q27" s="287">
        <f>Q29-Q26-Q28</f>
        <v>73.599999999999994</v>
      </c>
      <c r="R27" s="358"/>
      <c r="S27" s="358"/>
    </row>
    <row r="28" spans="2:19" s="354" customFormat="1" x14ac:dyDescent="0.25">
      <c r="B28" s="510"/>
      <c r="C28" s="516"/>
      <c r="E28" s="361" t="s">
        <v>834</v>
      </c>
      <c r="F28" s="361"/>
      <c r="G28" s="361"/>
      <c r="I28" s="96">
        <f>I29-I26</f>
        <v>17</v>
      </c>
      <c r="J28" s="358"/>
      <c r="K28" s="358"/>
      <c r="M28" s="96">
        <v>25</v>
      </c>
      <c r="N28" s="358"/>
      <c r="O28" s="358"/>
      <c r="Q28" s="287">
        <v>11</v>
      </c>
      <c r="R28" s="358"/>
      <c r="S28" s="358"/>
    </row>
    <row r="29" spans="2:19" s="354" customFormat="1" x14ac:dyDescent="0.25">
      <c r="B29" s="357" t="s">
        <v>835</v>
      </c>
      <c r="C29" s="362" t="s">
        <v>836</v>
      </c>
      <c r="E29" s="361" t="s">
        <v>837</v>
      </c>
      <c r="F29" s="361"/>
      <c r="G29" s="361" t="s">
        <v>838</v>
      </c>
      <c r="I29" s="360">
        <v>118</v>
      </c>
      <c r="J29" s="358"/>
      <c r="K29" s="358"/>
      <c r="M29" s="360">
        <v>132</v>
      </c>
      <c r="N29" s="358"/>
      <c r="O29" s="358"/>
      <c r="Q29" s="359">
        <v>141</v>
      </c>
      <c r="R29" s="358"/>
      <c r="S29" s="358"/>
    </row>
    <row r="30" spans="2:19" s="354" customFormat="1" ht="26.4" x14ac:dyDescent="0.25">
      <c r="B30" s="357" t="s">
        <v>839</v>
      </c>
      <c r="C30" s="356" t="s">
        <v>840</v>
      </c>
      <c r="M30" s="355"/>
      <c r="Q30" s="355"/>
    </row>
    <row r="31" spans="2:19" s="354" customFormat="1" x14ac:dyDescent="0.25">
      <c r="B31" s="508" t="s">
        <v>841</v>
      </c>
      <c r="C31" s="514" t="s">
        <v>842</v>
      </c>
    </row>
    <row r="32" spans="2:19" s="354" customFormat="1" ht="16.5" customHeight="1" x14ac:dyDescent="0.4">
      <c r="B32" s="510"/>
      <c r="C32" s="516"/>
      <c r="G32" s="353"/>
      <c r="H32" s="353"/>
      <c r="I32" s="353"/>
      <c r="J32" s="353"/>
    </row>
    <row r="33" spans="3:19" s="354" customFormat="1" ht="12.9" customHeight="1" x14ac:dyDescent="0.4">
      <c r="G33" s="353"/>
      <c r="H33" s="353"/>
      <c r="I33" s="353"/>
      <c r="J33" s="353"/>
      <c r="Q33" s="506"/>
      <c r="R33" s="506"/>
      <c r="S33" s="506"/>
    </row>
    <row r="34" spans="3:19" s="354" customFormat="1" ht="12.9" customHeight="1" x14ac:dyDescent="0.4">
      <c r="G34" s="353"/>
      <c r="H34" s="353"/>
      <c r="I34" s="353"/>
      <c r="J34" s="353"/>
    </row>
    <row r="35" spans="3:19" ht="25.5" customHeight="1" x14ac:dyDescent="0.4">
      <c r="G35" s="353"/>
      <c r="H35" s="353"/>
      <c r="I35" s="353"/>
      <c r="J35" s="353"/>
    </row>
    <row r="37" spans="3:19" hidden="1" x14ac:dyDescent="0.25">
      <c r="C37" s="504" t="s">
        <v>806</v>
      </c>
      <c r="D37" s="504"/>
      <c r="E37" s="504"/>
      <c r="F37" s="504"/>
      <c r="G37" s="504"/>
      <c r="H37" s="504"/>
      <c r="I37" s="504"/>
      <c r="J37" s="504"/>
      <c r="K37" s="504"/>
      <c r="L37" s="504"/>
      <c r="M37" s="504"/>
      <c r="N37" s="504"/>
      <c r="O37" s="504"/>
      <c r="P37" s="504"/>
      <c r="Q37" s="504"/>
      <c r="R37" s="504"/>
      <c r="S37" s="504"/>
    </row>
    <row r="38" spans="3:19" hidden="1" x14ac:dyDescent="0.25"/>
    <row r="39" spans="3:19" hidden="1" x14ac:dyDescent="0.25">
      <c r="C39" s="352" t="s">
        <v>843</v>
      </c>
    </row>
    <row r="40" spans="3:19" hidden="1" x14ac:dyDescent="0.25"/>
    <row r="41" spans="3:19" hidden="1" x14ac:dyDescent="0.25">
      <c r="C41" s="352" t="s">
        <v>844</v>
      </c>
      <c r="E41" s="352" t="s">
        <v>845</v>
      </c>
      <c r="F41" s="352" t="s">
        <v>846</v>
      </c>
      <c r="G41" s="352" t="s">
        <v>847</v>
      </c>
    </row>
    <row r="42" spans="3:19" hidden="1" x14ac:dyDescent="0.25">
      <c r="C42" s="352" t="s">
        <v>848</v>
      </c>
      <c r="E42" s="352" t="s">
        <v>849</v>
      </c>
      <c r="F42" s="352" t="s">
        <v>850</v>
      </c>
      <c r="G42" s="352" t="s">
        <v>851</v>
      </c>
      <c r="Q42" s="352">
        <v>1</v>
      </c>
    </row>
    <row r="43" spans="3:19" hidden="1" x14ac:dyDescent="0.25">
      <c r="C43" s="352" t="s">
        <v>852</v>
      </c>
      <c r="E43" s="352" t="s">
        <v>853</v>
      </c>
      <c r="F43" s="352" t="s">
        <v>854</v>
      </c>
      <c r="G43" s="352" t="s">
        <v>851</v>
      </c>
      <c r="Q43" s="352">
        <v>1</v>
      </c>
    </row>
    <row r="44" spans="3:19" hidden="1" x14ac:dyDescent="0.25">
      <c r="C44" s="352" t="s">
        <v>855</v>
      </c>
      <c r="E44" s="352" t="s">
        <v>856</v>
      </c>
      <c r="F44" s="352" t="s">
        <v>857</v>
      </c>
      <c r="G44" s="352" t="s">
        <v>851</v>
      </c>
      <c r="Q44" s="352">
        <v>1</v>
      </c>
    </row>
    <row r="45" spans="3:19" hidden="1" x14ac:dyDescent="0.25">
      <c r="C45" s="352" t="s">
        <v>858</v>
      </c>
      <c r="E45" s="352" t="s">
        <v>859</v>
      </c>
      <c r="F45" s="352" t="s">
        <v>860</v>
      </c>
      <c r="G45" s="352" t="s">
        <v>851</v>
      </c>
      <c r="Q45" s="352">
        <v>1</v>
      </c>
    </row>
    <row r="46" spans="3:19" ht="13.5" hidden="1" customHeight="1" x14ac:dyDescent="0.25">
      <c r="C46" s="352" t="s">
        <v>861</v>
      </c>
      <c r="E46" s="352" t="s">
        <v>862</v>
      </c>
      <c r="F46" s="352" t="s">
        <v>863</v>
      </c>
      <c r="G46" s="352" t="s">
        <v>851</v>
      </c>
      <c r="Q46" s="352">
        <v>1</v>
      </c>
    </row>
    <row r="47" spans="3:19" hidden="1" x14ac:dyDescent="0.25">
      <c r="C47" s="352" t="s">
        <v>864</v>
      </c>
      <c r="E47" s="352" t="s">
        <v>865</v>
      </c>
      <c r="F47" s="352" t="s">
        <v>866</v>
      </c>
      <c r="G47" s="352" t="s">
        <v>851</v>
      </c>
      <c r="Q47" s="352">
        <v>1</v>
      </c>
    </row>
    <row r="48" spans="3:19" hidden="1" x14ac:dyDescent="0.25">
      <c r="C48" s="352" t="s">
        <v>867</v>
      </c>
      <c r="E48" s="352" t="s">
        <v>868</v>
      </c>
      <c r="F48" s="352" t="s">
        <v>869</v>
      </c>
      <c r="G48" s="352" t="s">
        <v>851</v>
      </c>
      <c r="Q48" s="352">
        <v>1</v>
      </c>
    </row>
    <row r="49" spans="3:19" hidden="1" x14ac:dyDescent="0.25">
      <c r="C49" s="352" t="s">
        <v>870</v>
      </c>
      <c r="E49" s="352" t="s">
        <v>871</v>
      </c>
      <c r="F49" s="352" t="s">
        <v>872</v>
      </c>
      <c r="G49" s="352" t="s">
        <v>851</v>
      </c>
      <c r="Q49" s="352">
        <v>1</v>
      </c>
    </row>
    <row r="50" spans="3:19" hidden="1" x14ac:dyDescent="0.25">
      <c r="C50" s="352" t="s">
        <v>873</v>
      </c>
      <c r="E50" s="352" t="s">
        <v>849</v>
      </c>
      <c r="F50" s="352" t="s">
        <v>874</v>
      </c>
      <c r="G50" s="352" t="s">
        <v>851</v>
      </c>
      <c r="Q50" s="352">
        <v>1</v>
      </c>
    </row>
    <row r="51" spans="3:19" hidden="1" x14ac:dyDescent="0.25">
      <c r="C51" s="352" t="s">
        <v>875</v>
      </c>
      <c r="E51" s="352" t="s">
        <v>876</v>
      </c>
      <c r="F51" s="352" t="s">
        <v>877</v>
      </c>
      <c r="G51" s="352" t="s">
        <v>851</v>
      </c>
      <c r="Q51" s="352">
        <v>1</v>
      </c>
    </row>
    <row r="52" spans="3:19" hidden="1" x14ac:dyDescent="0.25">
      <c r="C52" s="352" t="s">
        <v>878</v>
      </c>
      <c r="E52" s="352" t="s">
        <v>879</v>
      </c>
      <c r="F52" s="352" t="s">
        <v>849</v>
      </c>
      <c r="G52" s="352" t="s">
        <v>880</v>
      </c>
      <c r="Q52" s="352">
        <v>1</v>
      </c>
    </row>
    <row r="53" spans="3:19" hidden="1" x14ac:dyDescent="0.25"/>
    <row r="54" spans="3:19" hidden="1" x14ac:dyDescent="0.25"/>
    <row r="55" spans="3:19" hidden="1" x14ac:dyDescent="0.25">
      <c r="C55" s="352" t="s">
        <v>881</v>
      </c>
    </row>
    <row r="56" spans="3:19" ht="63.75" hidden="1" customHeight="1" x14ac:dyDescent="0.25">
      <c r="C56" s="352" t="s">
        <v>882</v>
      </c>
      <c r="E56" s="352" t="s">
        <v>883</v>
      </c>
      <c r="F56" s="352" t="s">
        <v>884</v>
      </c>
      <c r="G56" s="352" t="s">
        <v>851</v>
      </c>
      <c r="Q56" s="352">
        <v>0.47499999999999998</v>
      </c>
    </row>
    <row r="57" spans="3:19" hidden="1" x14ac:dyDescent="0.25"/>
    <row r="58" spans="3:19" hidden="1" x14ac:dyDescent="0.25">
      <c r="C58" s="504" t="s">
        <v>885</v>
      </c>
      <c r="D58" s="504"/>
      <c r="E58" s="504"/>
      <c r="F58" s="504"/>
      <c r="G58" s="504"/>
      <c r="H58" s="504"/>
      <c r="I58" s="504"/>
      <c r="J58" s="504"/>
      <c r="K58" s="504"/>
      <c r="L58" s="504"/>
      <c r="M58" s="504"/>
      <c r="N58" s="504"/>
      <c r="O58" s="504"/>
      <c r="P58" s="504"/>
      <c r="Q58" s="504"/>
      <c r="R58" s="504"/>
      <c r="S58" s="504"/>
    </row>
    <row r="59" spans="3:19" hidden="1" x14ac:dyDescent="0.25"/>
    <row r="60" spans="3:19" hidden="1" x14ac:dyDescent="0.25">
      <c r="C60" s="352" t="s">
        <v>886</v>
      </c>
      <c r="E60" s="352" t="s">
        <v>887</v>
      </c>
      <c r="F60" s="352" t="s">
        <v>888</v>
      </c>
      <c r="G60" s="352" t="s">
        <v>889</v>
      </c>
      <c r="Q60" s="352">
        <v>1</v>
      </c>
    </row>
    <row r="61" spans="3:19" hidden="1" x14ac:dyDescent="0.25">
      <c r="C61" s="352" t="s">
        <v>890</v>
      </c>
      <c r="E61" s="352" t="s">
        <v>891</v>
      </c>
      <c r="F61" s="352" t="s">
        <v>892</v>
      </c>
      <c r="G61" s="352" t="s">
        <v>889</v>
      </c>
      <c r="Q61" s="352">
        <v>1</v>
      </c>
    </row>
    <row r="62" spans="3:19" hidden="1" x14ac:dyDescent="0.25">
      <c r="C62" s="352" t="s">
        <v>893</v>
      </c>
      <c r="E62" s="352" t="s">
        <v>894</v>
      </c>
      <c r="F62" s="352" t="s">
        <v>895</v>
      </c>
      <c r="G62" s="352" t="s">
        <v>896</v>
      </c>
      <c r="Q62" s="352">
        <v>1</v>
      </c>
    </row>
    <row r="63" spans="3:19" hidden="1" x14ac:dyDescent="0.25">
      <c r="E63" s="352" t="s">
        <v>897</v>
      </c>
      <c r="G63" s="352" t="s">
        <v>889</v>
      </c>
      <c r="Q63" s="352">
        <v>1</v>
      </c>
    </row>
    <row r="64" spans="3:19" hidden="1" x14ac:dyDescent="0.25">
      <c r="C64" s="352" t="s">
        <v>898</v>
      </c>
      <c r="E64" s="352" t="s">
        <v>899</v>
      </c>
      <c r="F64" s="352" t="s">
        <v>900</v>
      </c>
      <c r="G64" s="352" t="s">
        <v>901</v>
      </c>
      <c r="Q64" s="352">
        <v>1</v>
      </c>
    </row>
    <row r="65" spans="3:17" hidden="1" x14ac:dyDescent="0.25">
      <c r="C65" s="352" t="s">
        <v>902</v>
      </c>
      <c r="E65" s="352" t="s">
        <v>876</v>
      </c>
      <c r="F65" s="352" t="s">
        <v>903</v>
      </c>
      <c r="G65" s="352" t="s">
        <v>904</v>
      </c>
      <c r="Q65" s="352">
        <v>1</v>
      </c>
    </row>
    <row r="66" spans="3:17" hidden="1" x14ac:dyDescent="0.25">
      <c r="C66" s="352" t="s">
        <v>905</v>
      </c>
      <c r="E66" s="352" t="s">
        <v>906</v>
      </c>
      <c r="F66" s="352" t="s">
        <v>907</v>
      </c>
      <c r="G66" s="352" t="s">
        <v>908</v>
      </c>
      <c r="Q66" s="352">
        <v>1</v>
      </c>
    </row>
    <row r="67" spans="3:17" hidden="1" x14ac:dyDescent="0.25">
      <c r="E67" s="352" t="s">
        <v>897</v>
      </c>
      <c r="G67" s="352" t="s">
        <v>908</v>
      </c>
      <c r="Q67" s="352">
        <v>1</v>
      </c>
    </row>
  </sheetData>
  <sheetProtection algorithmName="SHA-512" hashValue="dH1E0DLvHOE8lHFSR/F2j7L135jfuBwEujIsMnX8kspUvBjir/KC1WGcKzqx/AxOC79LWdKC+XQj9xR58OdGwA==" saltValue="LsmyW7g4RDF/NOi2a+HtyA==" spinCount="100000" sheet="1" selectLockedCells="1" selectUnlockedCells="1"/>
  <mergeCells count="20">
    <mergeCell ref="C37:S37"/>
    <mergeCell ref="C58:S58"/>
    <mergeCell ref="I5:K5"/>
    <mergeCell ref="M5:O5"/>
    <mergeCell ref="Q5:S5"/>
    <mergeCell ref="E6:G6"/>
    <mergeCell ref="Q33:S33"/>
    <mergeCell ref="B22:C22"/>
    <mergeCell ref="B23:B25"/>
    <mergeCell ref="C23:C25"/>
    <mergeCell ref="B26:B28"/>
    <mergeCell ref="C26:C28"/>
    <mergeCell ref="B31:B32"/>
    <mergeCell ref="C31:C32"/>
    <mergeCell ref="B1:S1"/>
    <mergeCell ref="B2:S2"/>
    <mergeCell ref="B3:S3"/>
    <mergeCell ref="I4:K4"/>
    <mergeCell ref="M4:O4"/>
    <mergeCell ref="Q4:S4"/>
  </mergeCells>
  <pageMargins left="0.17" right="0.17" top="0.5" bottom="0.5" header="0.5" footer="0.5"/>
  <pageSetup orientation="landscape" r:id="rId1"/>
  <headerFooter alignWithMargins="0">
    <oddFooter>&amp;R&amp;D&amp;F</oddFoot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C00000"/>
  </sheetPr>
  <dimension ref="A2:B54"/>
  <sheetViews>
    <sheetView topLeftCell="A18" workbookViewId="0">
      <selection activeCell="A59" sqref="A59:C59"/>
    </sheetView>
  </sheetViews>
  <sheetFormatPr defaultRowHeight="13.2" x14ac:dyDescent="0.25"/>
  <cols>
    <col min="1" max="1" width="30" customWidth="1"/>
    <col min="2" max="2" width="125.33203125" customWidth="1"/>
  </cols>
  <sheetData>
    <row r="2" spans="1:2" x14ac:dyDescent="0.25">
      <c r="A2" s="86" t="s">
        <v>743</v>
      </c>
      <c r="B2" s="86" t="s">
        <v>744</v>
      </c>
    </row>
    <row r="3" spans="1:2" ht="21.9" customHeight="1" x14ac:dyDescent="0.25">
      <c r="A3" s="88" t="s">
        <v>745</v>
      </c>
      <c r="B3" s="88" t="s">
        <v>746</v>
      </c>
    </row>
    <row r="4" spans="1:2" x14ac:dyDescent="0.25">
      <c r="A4" s="87"/>
      <c r="B4" s="87"/>
    </row>
    <row r="5" spans="1:2" ht="12.9" customHeight="1" x14ac:dyDescent="0.25">
      <c r="A5" s="71" t="s">
        <v>747</v>
      </c>
      <c r="B5" t="s">
        <v>748</v>
      </c>
    </row>
    <row r="6" spans="1:2" ht="12.9" customHeight="1" x14ac:dyDescent="0.25"/>
    <row r="7" spans="1:2" ht="12.9" customHeight="1" x14ac:dyDescent="0.25">
      <c r="A7" s="71" t="s">
        <v>749</v>
      </c>
      <c r="B7" t="s">
        <v>750</v>
      </c>
    </row>
    <row r="8" spans="1:2" ht="12.9" customHeight="1" x14ac:dyDescent="0.25"/>
    <row r="9" spans="1:2" ht="12.9" customHeight="1" x14ac:dyDescent="0.25">
      <c r="A9" s="71" t="s">
        <v>751</v>
      </c>
      <c r="B9" s="71" t="s">
        <v>752</v>
      </c>
    </row>
    <row r="10" spans="1:2" ht="12.9" customHeight="1" x14ac:dyDescent="0.25">
      <c r="B10" s="71" t="s">
        <v>753</v>
      </c>
    </row>
    <row r="11" spans="1:2" ht="12.9" customHeight="1" x14ac:dyDescent="0.25"/>
    <row r="12" spans="1:2" ht="12.9" customHeight="1" x14ac:dyDescent="0.25">
      <c r="A12" s="71" t="s">
        <v>754</v>
      </c>
      <c r="B12" s="71" t="s">
        <v>755</v>
      </c>
    </row>
    <row r="13" spans="1:2" ht="12.9" customHeight="1" x14ac:dyDescent="0.25">
      <c r="B13" s="71" t="s">
        <v>753</v>
      </c>
    </row>
    <row r="14" spans="1:2" ht="12.9" customHeight="1" x14ac:dyDescent="0.25"/>
    <row r="15" spans="1:2" ht="12.9" customHeight="1" x14ac:dyDescent="0.25">
      <c r="A15" s="71" t="s">
        <v>756</v>
      </c>
      <c r="B15" s="71" t="s">
        <v>757</v>
      </c>
    </row>
    <row r="17" spans="1:2" x14ac:dyDescent="0.25">
      <c r="A17" s="71" t="s">
        <v>758</v>
      </c>
      <c r="B17" t="s">
        <v>759</v>
      </c>
    </row>
    <row r="18" spans="1:2" x14ac:dyDescent="0.25">
      <c r="B18" s="71" t="s">
        <v>760</v>
      </c>
    </row>
    <row r="20" spans="1:2" x14ac:dyDescent="0.25">
      <c r="A20" s="71" t="s">
        <v>761</v>
      </c>
      <c r="B20" t="s">
        <v>762</v>
      </c>
    </row>
    <row r="22" spans="1:2" x14ac:dyDescent="0.25">
      <c r="A22" s="71" t="s">
        <v>763</v>
      </c>
      <c r="B22" t="s">
        <v>764</v>
      </c>
    </row>
    <row r="24" spans="1:2" x14ac:dyDescent="0.25">
      <c r="B24" s="83" t="s">
        <v>765</v>
      </c>
    </row>
    <row r="25" spans="1:2" x14ac:dyDescent="0.25">
      <c r="B25" s="83" t="s">
        <v>766</v>
      </c>
    </row>
    <row r="27" spans="1:2" x14ac:dyDescent="0.25">
      <c r="A27" t="s">
        <v>105</v>
      </c>
      <c r="B27" t="s">
        <v>767</v>
      </c>
    </row>
    <row r="28" spans="1:2" x14ac:dyDescent="0.25">
      <c r="B28" t="s">
        <v>768</v>
      </c>
    </row>
    <row r="29" spans="1:2" x14ac:dyDescent="0.25">
      <c r="B29" t="s">
        <v>769</v>
      </c>
    </row>
    <row r="30" spans="1:2" x14ac:dyDescent="0.25">
      <c r="B30" s="71" t="s">
        <v>770</v>
      </c>
    </row>
    <row r="31" spans="1:2" x14ac:dyDescent="0.25">
      <c r="B31" s="71" t="s">
        <v>771</v>
      </c>
    </row>
    <row r="33" spans="1:2" x14ac:dyDescent="0.25">
      <c r="A33" s="71" t="s">
        <v>772</v>
      </c>
      <c r="B33" s="71" t="s">
        <v>773</v>
      </c>
    </row>
    <row r="34" spans="1:2" x14ac:dyDescent="0.25">
      <c r="A34" s="71"/>
      <c r="B34" s="71" t="s">
        <v>774</v>
      </c>
    </row>
    <row r="35" spans="1:2" x14ac:dyDescent="0.25">
      <c r="A35" s="71"/>
      <c r="B35" s="71" t="s">
        <v>775</v>
      </c>
    </row>
    <row r="36" spans="1:2" x14ac:dyDescent="0.25">
      <c r="A36" s="71"/>
      <c r="B36" s="71" t="s">
        <v>776</v>
      </c>
    </row>
    <row r="37" spans="1:2" x14ac:dyDescent="0.25">
      <c r="A37" s="71"/>
      <c r="B37" s="71" t="s">
        <v>777</v>
      </c>
    </row>
    <row r="38" spans="1:2" x14ac:dyDescent="0.25">
      <c r="A38" s="71"/>
      <c r="B38" s="71" t="s">
        <v>778</v>
      </c>
    </row>
    <row r="39" spans="1:2" x14ac:dyDescent="0.25">
      <c r="A39" s="71"/>
      <c r="B39" s="71" t="s">
        <v>779</v>
      </c>
    </row>
    <row r="40" spans="1:2" x14ac:dyDescent="0.25">
      <c r="A40" s="71"/>
      <c r="B40" s="71" t="s">
        <v>780</v>
      </c>
    </row>
    <row r="42" spans="1:2" x14ac:dyDescent="0.25">
      <c r="A42" t="s">
        <v>781</v>
      </c>
      <c r="B42" s="71" t="s">
        <v>782</v>
      </c>
    </row>
    <row r="43" spans="1:2" x14ac:dyDescent="0.25">
      <c r="B43" t="s">
        <v>783</v>
      </c>
    </row>
    <row r="44" spans="1:2" x14ac:dyDescent="0.25">
      <c r="B44" t="s">
        <v>784</v>
      </c>
    </row>
    <row r="45" spans="1:2" x14ac:dyDescent="0.25">
      <c r="B45" t="s">
        <v>785</v>
      </c>
    </row>
    <row r="46" spans="1:2" x14ac:dyDescent="0.25">
      <c r="B46" s="71" t="s">
        <v>786</v>
      </c>
    </row>
    <row r="50" spans="1:2" x14ac:dyDescent="0.25">
      <c r="A50" s="71" t="s">
        <v>787</v>
      </c>
      <c r="B50" s="71" t="s">
        <v>788</v>
      </c>
    </row>
    <row r="51" spans="1:2" x14ac:dyDescent="0.25">
      <c r="B51" s="71" t="s">
        <v>789</v>
      </c>
    </row>
    <row r="52" spans="1:2" x14ac:dyDescent="0.25">
      <c r="B52" s="71" t="s">
        <v>790</v>
      </c>
    </row>
    <row r="54" spans="1:2" x14ac:dyDescent="0.25">
      <c r="A54" s="71" t="s">
        <v>791</v>
      </c>
      <c r="B54" s="71" t="s">
        <v>792</v>
      </c>
    </row>
  </sheetData>
  <sheetProtection algorithmName="SHA-512" hashValue="HrFmaclIjWrgfXVRJKWU1GsgpwMGE3MCNKnx8K1OWnUcU676BrYUXml65hQN/HJMdUxuPs9Y5mAUi7R2m/JbtA==" saltValue="9HTz9T1T+KW+/f8TiAW1fQ==" spinCount="100000" sheet="1" objects="1" scenarios="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12E6A-0965-4F77-888E-F8091AA5E891}">
  <sheetPr codeName="Sheet16"/>
  <dimension ref="A1:N35"/>
  <sheetViews>
    <sheetView workbookViewId="0">
      <selection activeCell="I38" sqref="I38"/>
    </sheetView>
  </sheetViews>
  <sheetFormatPr defaultColWidth="9.109375" defaultRowHeight="15.6" x14ac:dyDescent="0.3"/>
  <cols>
    <col min="1" max="1" width="4.109375" style="89" customWidth="1"/>
    <col min="2" max="2" width="10" style="89" customWidth="1"/>
    <col min="3" max="3" width="3.33203125" style="89" customWidth="1"/>
    <col min="4" max="4" width="6.88671875" style="89" customWidth="1"/>
    <col min="5" max="5" width="9.44140625" style="89" customWidth="1"/>
    <col min="6" max="6" width="13.33203125" style="89" customWidth="1"/>
    <col min="7" max="7" width="6" style="89" customWidth="1"/>
    <col min="8" max="8" width="6.109375" style="89" customWidth="1"/>
    <col min="9" max="9" width="34.33203125" style="89" customWidth="1"/>
    <col min="10" max="10" width="15.109375" style="269" customWidth="1"/>
    <col min="11" max="11" width="14.109375" style="269" customWidth="1"/>
    <col min="12" max="12" width="15.6640625" style="269" customWidth="1"/>
    <col min="13" max="13" width="18" style="269" customWidth="1"/>
    <col min="14" max="14" width="24.6640625" style="269" customWidth="1"/>
    <col min="15" max="16384" width="9.109375" style="89"/>
  </cols>
  <sheetData>
    <row r="1" spans="1:14" x14ac:dyDescent="0.3">
      <c r="A1" s="322" t="s">
        <v>1330</v>
      </c>
      <c r="B1" s="32"/>
      <c r="C1" s="32"/>
      <c r="D1" s="32"/>
    </row>
    <row r="2" spans="1:14" x14ac:dyDescent="0.3">
      <c r="A2" s="322" t="s">
        <v>1331</v>
      </c>
      <c r="B2" s="32"/>
      <c r="C2" s="32"/>
      <c r="D2" s="32"/>
      <c r="J2" s="269" t="s">
        <v>1332</v>
      </c>
    </row>
    <row r="3" spans="1:14" x14ac:dyDescent="0.3">
      <c r="A3" s="323" t="s">
        <v>1333</v>
      </c>
      <c r="B3" s="324" t="s">
        <v>1334</v>
      </c>
      <c r="C3" s="32"/>
      <c r="D3" s="32"/>
      <c r="J3" s="286" t="s">
        <v>1335</v>
      </c>
    </row>
    <row r="4" spans="1:14" x14ac:dyDescent="0.3">
      <c r="A4" s="323" t="s">
        <v>1336</v>
      </c>
      <c r="B4" s="324" t="s">
        <v>1337</v>
      </c>
      <c r="C4" s="32"/>
      <c r="D4" s="32"/>
    </row>
    <row r="5" spans="1:14" x14ac:dyDescent="0.3">
      <c r="A5" s="323" t="s">
        <v>1338</v>
      </c>
      <c r="B5" s="324" t="s">
        <v>1339</v>
      </c>
      <c r="C5" s="32"/>
      <c r="D5" s="32"/>
      <c r="J5" s="286" t="s">
        <v>1340</v>
      </c>
    </row>
    <row r="6" spans="1:14" x14ac:dyDescent="0.3">
      <c r="A6" s="323" t="s">
        <v>1341</v>
      </c>
      <c r="B6" s="324" t="s">
        <v>1342</v>
      </c>
      <c r="C6" s="32"/>
      <c r="D6" s="32"/>
    </row>
    <row r="7" spans="1:14" x14ac:dyDescent="0.3">
      <c r="I7" s="91" t="s">
        <v>1343</v>
      </c>
      <c r="J7" s="282">
        <f>SUBTOTAL(9,J9:J35)</f>
        <v>5744279</v>
      </c>
      <c r="K7" s="282">
        <f t="shared" ref="K7:N7" si="0">SUBTOTAL(9,K9:K35)</f>
        <v>5748183</v>
      </c>
      <c r="L7" s="282">
        <f t="shared" si="0"/>
        <v>4965150.3099999996</v>
      </c>
      <c r="M7" s="282">
        <f t="shared" si="0"/>
        <v>0</v>
      </c>
      <c r="N7" s="282">
        <f t="shared" si="0"/>
        <v>783032.69</v>
      </c>
    </row>
    <row r="8" spans="1:14" ht="28.2" x14ac:dyDescent="0.3">
      <c r="A8" s="90" t="s">
        <v>1344</v>
      </c>
      <c r="B8" s="90" t="s">
        <v>1345</v>
      </c>
      <c r="C8" s="90"/>
      <c r="D8" s="90" t="s">
        <v>1346</v>
      </c>
      <c r="E8" s="90" t="s">
        <v>1347</v>
      </c>
      <c r="F8" s="90" t="s">
        <v>1348</v>
      </c>
      <c r="G8" s="90" t="s">
        <v>1349</v>
      </c>
      <c r="H8" s="90" t="s">
        <v>1350</v>
      </c>
      <c r="I8" s="90" t="s">
        <v>1351</v>
      </c>
      <c r="J8" s="283" t="s">
        <v>1352</v>
      </c>
      <c r="K8" s="283" t="s">
        <v>1353</v>
      </c>
      <c r="L8" s="283" t="s">
        <v>1354</v>
      </c>
      <c r="M8" s="283" t="s">
        <v>1355</v>
      </c>
      <c r="N8" s="283" t="s">
        <v>1356</v>
      </c>
    </row>
    <row r="9" spans="1:14" x14ac:dyDescent="0.3">
      <c r="A9" s="267">
        <v>11</v>
      </c>
      <c r="B9" s="317" t="s">
        <v>1357</v>
      </c>
      <c r="C9" s="92" t="str">
        <f>LEFT(B9,1)</f>
        <v>A</v>
      </c>
      <c r="D9" s="318">
        <v>1000</v>
      </c>
      <c r="E9" s="319">
        <v>0</v>
      </c>
      <c r="F9" s="318">
        <v>6571</v>
      </c>
      <c r="G9" s="318">
        <v>551</v>
      </c>
      <c r="H9" s="318">
        <v>5510</v>
      </c>
      <c r="I9" s="320" t="s">
        <v>1358</v>
      </c>
      <c r="J9" s="321">
        <v>11032</v>
      </c>
      <c r="K9" s="321">
        <v>11032</v>
      </c>
      <c r="L9" s="321">
        <v>6782.76</v>
      </c>
      <c r="M9" s="321">
        <v>0</v>
      </c>
      <c r="N9" s="321">
        <v>4249.24</v>
      </c>
    </row>
    <row r="10" spans="1:14" x14ac:dyDescent="0.3">
      <c r="A10" s="267">
        <v>11</v>
      </c>
      <c r="B10" s="317" t="s">
        <v>1357</v>
      </c>
      <c r="C10" s="92" t="str">
        <f t="shared" ref="C10:C35" si="1">LEFT(B10,1)</f>
        <v>A</v>
      </c>
      <c r="D10" s="318">
        <v>1000</v>
      </c>
      <c r="E10" s="319">
        <v>0</v>
      </c>
      <c r="F10" s="318">
        <v>6641</v>
      </c>
      <c r="G10" s="318">
        <v>0</v>
      </c>
      <c r="H10" s="318">
        <v>5520</v>
      </c>
      <c r="I10" s="320" t="s">
        <v>1359</v>
      </c>
      <c r="J10" s="321">
        <v>0</v>
      </c>
      <c r="K10" s="321">
        <v>0</v>
      </c>
      <c r="L10" s="321">
        <v>0</v>
      </c>
      <c r="M10" s="321">
        <v>0</v>
      </c>
      <c r="N10" s="321">
        <v>0</v>
      </c>
    </row>
    <row r="11" spans="1:14" x14ac:dyDescent="0.3">
      <c r="A11" s="268">
        <v>11</v>
      </c>
      <c r="B11" s="317" t="s">
        <v>1360</v>
      </c>
      <c r="C11" s="92" t="str">
        <f t="shared" si="1"/>
        <v>A</v>
      </c>
      <c r="D11" s="318">
        <v>1000</v>
      </c>
      <c r="E11" s="319">
        <v>0</v>
      </c>
      <c r="F11" s="318">
        <v>6720</v>
      </c>
      <c r="G11" s="318">
        <v>994</v>
      </c>
      <c r="H11" s="318">
        <v>5520</v>
      </c>
      <c r="I11" s="320" t="s">
        <v>1359</v>
      </c>
      <c r="J11" s="321">
        <v>0</v>
      </c>
      <c r="K11" s="321">
        <v>0</v>
      </c>
      <c r="L11" s="321">
        <v>0</v>
      </c>
      <c r="M11" s="321">
        <v>0</v>
      </c>
      <c r="N11" s="321">
        <v>0</v>
      </c>
    </row>
    <row r="12" spans="1:14" x14ac:dyDescent="0.3">
      <c r="A12" s="268">
        <v>11</v>
      </c>
      <c r="B12" s="317" t="s">
        <v>1361</v>
      </c>
      <c r="C12" s="92" t="str">
        <f t="shared" si="1"/>
        <v>A</v>
      </c>
      <c r="D12" s="318">
        <v>1000</v>
      </c>
      <c r="E12" s="319">
        <v>0</v>
      </c>
      <c r="F12" s="318">
        <v>6010</v>
      </c>
      <c r="G12" s="318">
        <v>7000</v>
      </c>
      <c r="H12" s="318">
        <v>5520</v>
      </c>
      <c r="I12" s="320" t="s">
        <v>1359</v>
      </c>
      <c r="J12" s="321">
        <v>270</v>
      </c>
      <c r="K12" s="321">
        <v>270</v>
      </c>
      <c r="L12" s="321">
        <v>0</v>
      </c>
      <c r="M12" s="321">
        <v>0</v>
      </c>
      <c r="N12" s="321">
        <v>270</v>
      </c>
    </row>
    <row r="13" spans="1:14" x14ac:dyDescent="0.3">
      <c r="A13" s="268">
        <v>11</v>
      </c>
      <c r="B13" s="317" t="s">
        <v>1362</v>
      </c>
      <c r="C13" s="92" t="str">
        <f t="shared" si="1"/>
        <v>A</v>
      </c>
      <c r="D13" s="318">
        <v>1000</v>
      </c>
      <c r="E13" s="319">
        <v>0</v>
      </c>
      <c r="F13" s="318">
        <v>6774</v>
      </c>
      <c r="G13" s="318">
        <v>0</v>
      </c>
      <c r="H13" s="318">
        <v>5520</v>
      </c>
      <c r="I13" s="320" t="s">
        <v>1359</v>
      </c>
      <c r="J13" s="321">
        <v>0</v>
      </c>
      <c r="K13" s="321">
        <v>0</v>
      </c>
      <c r="L13" s="321">
        <v>0</v>
      </c>
      <c r="M13" s="321">
        <v>0</v>
      </c>
      <c r="N13" s="321">
        <v>0</v>
      </c>
    </row>
    <row r="14" spans="1:14" x14ac:dyDescent="0.3">
      <c r="A14" s="268">
        <v>11</v>
      </c>
      <c r="B14" s="317" t="s">
        <v>1363</v>
      </c>
      <c r="C14" s="92" t="str">
        <f t="shared" si="1"/>
        <v>D</v>
      </c>
      <c r="D14" s="318">
        <v>1000</v>
      </c>
      <c r="E14" s="319">
        <v>0</v>
      </c>
      <c r="F14" s="318">
        <v>6624</v>
      </c>
      <c r="G14" s="318">
        <v>0</v>
      </c>
      <c r="H14" s="318">
        <v>5520</v>
      </c>
      <c r="I14" s="320" t="s">
        <v>1359</v>
      </c>
      <c r="J14" s="321">
        <v>739</v>
      </c>
      <c r="K14" s="321">
        <v>739</v>
      </c>
      <c r="L14" s="321">
        <v>0</v>
      </c>
      <c r="M14" s="321">
        <v>0</v>
      </c>
      <c r="N14" s="321">
        <v>739</v>
      </c>
    </row>
    <row r="15" spans="1:14" x14ac:dyDescent="0.3">
      <c r="A15" s="268">
        <v>11</v>
      </c>
      <c r="B15" s="317" t="s">
        <v>1364</v>
      </c>
      <c r="C15" s="92" t="str">
        <f t="shared" si="1"/>
        <v>D</v>
      </c>
      <c r="D15" s="318">
        <v>1000</v>
      </c>
      <c r="E15" s="319">
        <v>0</v>
      </c>
      <c r="F15" s="318">
        <v>6619</v>
      </c>
      <c r="G15" s="318">
        <v>0</v>
      </c>
      <c r="H15" s="318">
        <v>5520</v>
      </c>
      <c r="I15" s="320" t="s">
        <v>1359</v>
      </c>
      <c r="J15" s="321">
        <v>499</v>
      </c>
      <c r="K15" s="321">
        <v>499</v>
      </c>
      <c r="L15" s="321">
        <v>0</v>
      </c>
      <c r="M15" s="321">
        <v>0</v>
      </c>
      <c r="N15" s="321">
        <v>499</v>
      </c>
    </row>
    <row r="16" spans="1:14" x14ac:dyDescent="0.3">
      <c r="A16" s="268">
        <v>11</v>
      </c>
      <c r="B16" s="317" t="s">
        <v>1365</v>
      </c>
      <c r="C16" s="92" t="str">
        <f t="shared" si="1"/>
        <v>D</v>
      </c>
      <c r="D16" s="318">
        <v>1000</v>
      </c>
      <c r="E16" s="319">
        <v>0</v>
      </c>
      <c r="F16" s="318">
        <v>6571</v>
      </c>
      <c r="G16" s="318">
        <v>0</v>
      </c>
      <c r="H16" s="318">
        <v>5510</v>
      </c>
      <c r="I16" s="320" t="s">
        <v>1358</v>
      </c>
      <c r="J16" s="321">
        <v>896348</v>
      </c>
      <c r="K16" s="321">
        <v>896348</v>
      </c>
      <c r="L16" s="321">
        <v>353492.6</v>
      </c>
      <c r="M16" s="321">
        <v>0</v>
      </c>
      <c r="N16" s="321">
        <v>542855.4</v>
      </c>
    </row>
    <row r="17" spans="1:14" x14ac:dyDescent="0.3">
      <c r="A17" s="268">
        <v>11</v>
      </c>
      <c r="B17" s="317" t="s">
        <v>1365</v>
      </c>
      <c r="C17" s="92" t="str">
        <f t="shared" si="1"/>
        <v>D</v>
      </c>
      <c r="D17" s="318">
        <v>1000</v>
      </c>
      <c r="E17" s="319">
        <v>0</v>
      </c>
      <c r="F17" s="318">
        <v>6571</v>
      </c>
      <c r="G17" s="318">
        <v>0</v>
      </c>
      <c r="H17" s="318">
        <v>5520</v>
      </c>
      <c r="I17" s="320" t="s">
        <v>1359</v>
      </c>
      <c r="J17" s="321">
        <v>1937170</v>
      </c>
      <c r="K17" s="321">
        <v>1937170</v>
      </c>
      <c r="L17" s="321">
        <v>2062201.8</v>
      </c>
      <c r="M17" s="321">
        <v>0</v>
      </c>
      <c r="N17" s="321">
        <v>-125031.8</v>
      </c>
    </row>
    <row r="18" spans="1:14" x14ac:dyDescent="0.3">
      <c r="A18" s="268">
        <v>11</v>
      </c>
      <c r="B18" s="317" t="s">
        <v>1365</v>
      </c>
      <c r="C18" s="92" t="str">
        <f t="shared" si="1"/>
        <v>D</v>
      </c>
      <c r="D18" s="318">
        <v>1000</v>
      </c>
      <c r="E18" s="319">
        <v>0</v>
      </c>
      <c r="F18" s="318">
        <v>6571</v>
      </c>
      <c r="G18" s="318">
        <v>0</v>
      </c>
      <c r="H18" s="318">
        <v>5530</v>
      </c>
      <c r="I18" s="320" t="s">
        <v>1366</v>
      </c>
      <c r="J18" s="321">
        <v>278967</v>
      </c>
      <c r="K18" s="321">
        <v>278967</v>
      </c>
      <c r="L18" s="321">
        <v>264184.88</v>
      </c>
      <c r="M18" s="321">
        <v>0</v>
      </c>
      <c r="N18" s="321">
        <v>14782.12</v>
      </c>
    </row>
    <row r="19" spans="1:14" x14ac:dyDescent="0.3">
      <c r="A19" s="268">
        <v>11</v>
      </c>
      <c r="B19" s="317" t="s">
        <v>1365</v>
      </c>
      <c r="C19" s="92" t="str">
        <f t="shared" si="1"/>
        <v>D</v>
      </c>
      <c r="D19" s="318">
        <v>1000</v>
      </c>
      <c r="E19" s="319">
        <v>0</v>
      </c>
      <c r="F19" s="318">
        <v>6571</v>
      </c>
      <c r="G19" s="318">
        <v>551</v>
      </c>
      <c r="H19" s="318">
        <v>5510</v>
      </c>
      <c r="I19" s="320" t="s">
        <v>1358</v>
      </c>
      <c r="J19" s="321">
        <v>58220</v>
      </c>
      <c r="K19" s="321">
        <v>58220</v>
      </c>
      <c r="L19" s="321">
        <v>35795.760000000002</v>
      </c>
      <c r="M19" s="321">
        <v>0</v>
      </c>
      <c r="N19" s="321">
        <v>22424.240000000002</v>
      </c>
    </row>
    <row r="20" spans="1:14" x14ac:dyDescent="0.3">
      <c r="A20" s="268">
        <v>11</v>
      </c>
      <c r="B20" s="317" t="s">
        <v>1367</v>
      </c>
      <c r="C20" s="92" t="str">
        <f t="shared" si="1"/>
        <v>D</v>
      </c>
      <c r="D20" s="318">
        <v>1000</v>
      </c>
      <c r="E20" s="319">
        <v>0</v>
      </c>
      <c r="F20" s="318">
        <v>1914</v>
      </c>
      <c r="G20" s="318">
        <v>0</v>
      </c>
      <c r="H20" s="318">
        <v>5520</v>
      </c>
      <c r="I20" s="320" t="s">
        <v>1359</v>
      </c>
      <c r="J20" s="321">
        <v>0</v>
      </c>
      <c r="K20" s="321">
        <v>0</v>
      </c>
      <c r="L20" s="321">
        <v>309.45999999999998</v>
      </c>
      <c r="M20" s="321">
        <v>0</v>
      </c>
      <c r="N20" s="321">
        <v>-309.45999999999998</v>
      </c>
    </row>
    <row r="21" spans="1:14" x14ac:dyDescent="0.3">
      <c r="A21" s="268">
        <v>11</v>
      </c>
      <c r="B21" s="317" t="s">
        <v>1368</v>
      </c>
      <c r="C21" s="92" t="str">
        <f t="shared" si="1"/>
        <v>E</v>
      </c>
      <c r="D21" s="318">
        <v>1000</v>
      </c>
      <c r="E21" s="319">
        <v>0</v>
      </c>
      <c r="F21" s="318">
        <v>6624</v>
      </c>
      <c r="G21" s="318">
        <v>0</v>
      </c>
      <c r="H21" s="318">
        <v>5520</v>
      </c>
      <c r="I21" s="320" t="s">
        <v>1359</v>
      </c>
      <c r="J21" s="321">
        <v>0</v>
      </c>
      <c r="K21" s="321">
        <v>3904</v>
      </c>
      <c r="L21" s="321">
        <v>3903.15</v>
      </c>
      <c r="M21" s="321">
        <v>0</v>
      </c>
      <c r="N21" s="321">
        <v>0.85</v>
      </c>
    </row>
    <row r="22" spans="1:14" x14ac:dyDescent="0.3">
      <c r="A22" s="268">
        <v>11</v>
      </c>
      <c r="B22" s="317" t="s">
        <v>1369</v>
      </c>
      <c r="C22" s="92" t="str">
        <f t="shared" si="1"/>
        <v>E</v>
      </c>
      <c r="D22" s="318">
        <v>1000</v>
      </c>
      <c r="E22" s="319">
        <v>0</v>
      </c>
      <c r="F22" s="318">
        <v>6713</v>
      </c>
      <c r="G22" s="318">
        <v>0</v>
      </c>
      <c r="H22" s="318">
        <v>5520</v>
      </c>
      <c r="I22" s="320" t="s">
        <v>1359</v>
      </c>
      <c r="J22" s="321">
        <v>0</v>
      </c>
      <c r="K22" s="321">
        <v>0</v>
      </c>
      <c r="L22" s="321">
        <v>-56.51</v>
      </c>
      <c r="M22" s="321">
        <v>0</v>
      </c>
      <c r="N22" s="321">
        <v>56.51</v>
      </c>
    </row>
    <row r="23" spans="1:14" x14ac:dyDescent="0.3">
      <c r="A23" s="268">
        <v>11</v>
      </c>
      <c r="B23" s="317" t="s">
        <v>1370</v>
      </c>
      <c r="C23" s="92" t="str">
        <f t="shared" si="1"/>
        <v>E</v>
      </c>
      <c r="D23" s="318">
        <v>1000</v>
      </c>
      <c r="E23" s="319">
        <v>0</v>
      </c>
      <c r="F23" s="318">
        <v>6571</v>
      </c>
      <c r="G23" s="318">
        <v>0</v>
      </c>
      <c r="H23" s="318">
        <v>5510</v>
      </c>
      <c r="I23" s="320" t="s">
        <v>1358</v>
      </c>
      <c r="J23" s="321">
        <v>645465</v>
      </c>
      <c r="K23" s="321">
        <v>645465</v>
      </c>
      <c r="L23" s="321">
        <v>142362.88</v>
      </c>
      <c r="M23" s="321">
        <v>0</v>
      </c>
      <c r="N23" s="321">
        <v>503102.12</v>
      </c>
    </row>
    <row r="24" spans="1:14" x14ac:dyDescent="0.3">
      <c r="A24" s="268">
        <v>11</v>
      </c>
      <c r="B24" s="317" t="s">
        <v>1370</v>
      </c>
      <c r="C24" s="92" t="str">
        <f t="shared" si="1"/>
        <v>E</v>
      </c>
      <c r="D24" s="318">
        <v>1000</v>
      </c>
      <c r="E24" s="319">
        <v>0</v>
      </c>
      <c r="F24" s="318">
        <v>6571</v>
      </c>
      <c r="G24" s="318">
        <v>0</v>
      </c>
      <c r="H24" s="318">
        <v>5520</v>
      </c>
      <c r="I24" s="320" t="s">
        <v>1359</v>
      </c>
      <c r="J24" s="321">
        <v>757945</v>
      </c>
      <c r="K24" s="321">
        <v>757945</v>
      </c>
      <c r="L24" s="321">
        <v>1003348.24</v>
      </c>
      <c r="M24" s="321">
        <v>0</v>
      </c>
      <c r="N24" s="321">
        <v>-245403.24</v>
      </c>
    </row>
    <row r="25" spans="1:14" x14ac:dyDescent="0.3">
      <c r="A25" s="268">
        <v>11</v>
      </c>
      <c r="B25" s="317" t="s">
        <v>1370</v>
      </c>
      <c r="C25" s="92" t="str">
        <f t="shared" si="1"/>
        <v>E</v>
      </c>
      <c r="D25" s="318">
        <v>1000</v>
      </c>
      <c r="E25" s="319">
        <v>0</v>
      </c>
      <c r="F25" s="318">
        <v>6571</v>
      </c>
      <c r="G25" s="318">
        <v>0</v>
      </c>
      <c r="H25" s="318">
        <v>5530</v>
      </c>
      <c r="I25" s="320" t="s">
        <v>1366</v>
      </c>
      <c r="J25" s="321">
        <v>113219</v>
      </c>
      <c r="K25" s="321">
        <v>113219</v>
      </c>
      <c r="L25" s="321">
        <v>136683.84</v>
      </c>
      <c r="M25" s="321">
        <v>0</v>
      </c>
      <c r="N25" s="321">
        <v>-23464.84</v>
      </c>
    </row>
    <row r="26" spans="1:14" x14ac:dyDescent="0.3">
      <c r="A26" s="268">
        <v>11</v>
      </c>
      <c r="B26" s="317" t="s">
        <v>1371</v>
      </c>
      <c r="C26" s="92" t="str">
        <f t="shared" si="1"/>
        <v>E</v>
      </c>
      <c r="D26" s="318">
        <v>1000</v>
      </c>
      <c r="E26" s="319">
        <v>0</v>
      </c>
      <c r="F26" s="318">
        <v>6828</v>
      </c>
      <c r="G26" s="318">
        <v>0</v>
      </c>
      <c r="H26" s="318">
        <v>5510</v>
      </c>
      <c r="I26" s="320" t="s">
        <v>1358</v>
      </c>
      <c r="J26" s="321">
        <v>0</v>
      </c>
      <c r="K26" s="321">
        <v>0</v>
      </c>
      <c r="L26" s="321">
        <v>0</v>
      </c>
      <c r="M26" s="321">
        <v>0</v>
      </c>
      <c r="N26" s="321">
        <v>0</v>
      </c>
    </row>
    <row r="27" spans="1:14" x14ac:dyDescent="0.3">
      <c r="A27" s="268">
        <v>11</v>
      </c>
      <c r="B27" s="317" t="s">
        <v>1372</v>
      </c>
      <c r="C27" s="92" t="str">
        <f t="shared" si="1"/>
        <v>F</v>
      </c>
      <c r="D27" s="318">
        <v>1000</v>
      </c>
      <c r="E27" s="319">
        <v>0</v>
      </c>
      <c r="F27" s="318">
        <v>6571</v>
      </c>
      <c r="G27" s="318">
        <v>0</v>
      </c>
      <c r="H27" s="318">
        <v>5510</v>
      </c>
      <c r="I27" s="320" t="s">
        <v>1358</v>
      </c>
      <c r="J27" s="321">
        <v>110190</v>
      </c>
      <c r="K27" s="321">
        <v>110190</v>
      </c>
      <c r="L27" s="321">
        <v>49238.75</v>
      </c>
      <c r="M27" s="321">
        <v>0</v>
      </c>
      <c r="N27" s="321">
        <v>60951.25</v>
      </c>
    </row>
    <row r="28" spans="1:14" x14ac:dyDescent="0.3">
      <c r="A28" s="268">
        <v>11</v>
      </c>
      <c r="B28" s="317" t="s">
        <v>1372</v>
      </c>
      <c r="C28" s="92" t="str">
        <f t="shared" si="1"/>
        <v>F</v>
      </c>
      <c r="D28" s="318">
        <v>1000</v>
      </c>
      <c r="E28" s="319">
        <v>0</v>
      </c>
      <c r="F28" s="318">
        <v>6571</v>
      </c>
      <c r="G28" s="318">
        <v>0</v>
      </c>
      <c r="H28" s="318">
        <v>5520</v>
      </c>
      <c r="I28" s="320" t="s">
        <v>1359</v>
      </c>
      <c r="J28" s="321">
        <v>730892</v>
      </c>
      <c r="K28" s="321">
        <v>730892</v>
      </c>
      <c r="L28" s="321">
        <v>656323.79</v>
      </c>
      <c r="M28" s="321">
        <v>0</v>
      </c>
      <c r="N28" s="321">
        <v>74568.210000000006</v>
      </c>
    </row>
    <row r="29" spans="1:14" x14ac:dyDescent="0.3">
      <c r="A29" s="268">
        <v>11</v>
      </c>
      <c r="B29" s="317" t="s">
        <v>1372</v>
      </c>
      <c r="C29" s="92" t="str">
        <f t="shared" si="1"/>
        <v>F</v>
      </c>
      <c r="D29" s="318">
        <v>1000</v>
      </c>
      <c r="E29" s="319">
        <v>0</v>
      </c>
      <c r="F29" s="318">
        <v>6571</v>
      </c>
      <c r="G29" s="318">
        <v>0</v>
      </c>
      <c r="H29" s="318">
        <v>5530</v>
      </c>
      <c r="I29" s="320" t="s">
        <v>1366</v>
      </c>
      <c r="J29" s="321">
        <v>73517</v>
      </c>
      <c r="K29" s="321">
        <v>73517</v>
      </c>
      <c r="L29" s="321">
        <v>74657.56</v>
      </c>
      <c r="M29" s="321">
        <v>0</v>
      </c>
      <c r="N29" s="321">
        <v>-1140.56</v>
      </c>
    </row>
    <row r="30" spans="1:14" x14ac:dyDescent="0.3">
      <c r="A30" s="328">
        <v>11</v>
      </c>
      <c r="B30" s="329" t="s">
        <v>1372</v>
      </c>
      <c r="C30" s="330" t="str">
        <f t="shared" si="1"/>
        <v>F</v>
      </c>
      <c r="D30" s="331">
        <v>1000</v>
      </c>
      <c r="E30" s="332">
        <v>0</v>
      </c>
      <c r="F30" s="331">
        <v>6571</v>
      </c>
      <c r="G30" s="331">
        <v>573</v>
      </c>
      <c r="H30" s="331">
        <v>5510</v>
      </c>
      <c r="I30" s="333" t="s">
        <v>1358</v>
      </c>
      <c r="J30" s="334">
        <v>11358</v>
      </c>
      <c r="K30" s="334">
        <v>11358</v>
      </c>
      <c r="L30" s="334">
        <v>4737.3500000000004</v>
      </c>
      <c r="M30" s="334">
        <v>0</v>
      </c>
      <c r="N30" s="334">
        <v>6620.65</v>
      </c>
    </row>
    <row r="31" spans="1:14" x14ac:dyDescent="0.3">
      <c r="A31" s="335">
        <v>11</v>
      </c>
      <c r="B31" s="335" t="s">
        <v>1372</v>
      </c>
      <c r="C31" s="330" t="str">
        <f t="shared" si="1"/>
        <v>F</v>
      </c>
      <c r="D31" s="335">
        <v>1000</v>
      </c>
      <c r="E31" s="335">
        <v>0</v>
      </c>
      <c r="F31" s="335">
        <v>6571</v>
      </c>
      <c r="G31" s="335">
        <v>573</v>
      </c>
      <c r="H31" s="335">
        <v>5520</v>
      </c>
      <c r="I31" s="335" t="s">
        <v>1359</v>
      </c>
      <c r="J31" s="336">
        <v>109409</v>
      </c>
      <c r="K31" s="336">
        <v>109409</v>
      </c>
      <c r="L31" s="336">
        <v>96422.89</v>
      </c>
      <c r="M31" s="336">
        <v>0</v>
      </c>
      <c r="N31" s="336">
        <v>12986.11</v>
      </c>
    </row>
    <row r="32" spans="1:14" x14ac:dyDescent="0.3">
      <c r="A32" s="335">
        <v>11</v>
      </c>
      <c r="B32" s="335" t="s">
        <v>1372</v>
      </c>
      <c r="C32" s="330" t="str">
        <f t="shared" si="1"/>
        <v>F</v>
      </c>
      <c r="D32" s="335">
        <v>1000</v>
      </c>
      <c r="E32" s="335">
        <v>0</v>
      </c>
      <c r="F32" s="335">
        <v>6571</v>
      </c>
      <c r="G32" s="335">
        <v>573</v>
      </c>
      <c r="H32" s="335">
        <v>5530</v>
      </c>
      <c r="I32" s="335" t="s">
        <v>1366</v>
      </c>
      <c r="J32" s="336">
        <v>9039</v>
      </c>
      <c r="K32" s="336">
        <v>9039</v>
      </c>
      <c r="L32" s="336">
        <v>9604.98</v>
      </c>
      <c r="M32" s="336">
        <v>0</v>
      </c>
      <c r="N32" s="336">
        <v>-565.98</v>
      </c>
    </row>
    <row r="33" spans="1:14" x14ac:dyDescent="0.3">
      <c r="A33" s="335">
        <v>11</v>
      </c>
      <c r="B33" s="335" t="s">
        <v>1373</v>
      </c>
      <c r="C33" s="330" t="str">
        <f t="shared" si="1"/>
        <v>F</v>
      </c>
      <c r="D33" s="335">
        <v>1000</v>
      </c>
      <c r="E33" s="335">
        <v>0</v>
      </c>
      <c r="F33" s="335">
        <v>6571</v>
      </c>
      <c r="G33" s="335">
        <v>0</v>
      </c>
      <c r="H33" s="335">
        <v>5520</v>
      </c>
      <c r="I33" s="335" t="s">
        <v>1359</v>
      </c>
      <c r="J33" s="336">
        <v>0</v>
      </c>
      <c r="K33" s="336">
        <v>0</v>
      </c>
      <c r="L33" s="336">
        <v>56479.19</v>
      </c>
      <c r="M33" s="336">
        <v>0</v>
      </c>
      <c r="N33" s="336">
        <v>-56479.19</v>
      </c>
    </row>
    <row r="34" spans="1:14" x14ac:dyDescent="0.3">
      <c r="A34" s="335">
        <v>11</v>
      </c>
      <c r="B34" s="335" t="s">
        <v>1373</v>
      </c>
      <c r="C34" s="330" t="str">
        <f t="shared" si="1"/>
        <v>F</v>
      </c>
      <c r="D34" s="335">
        <v>1000</v>
      </c>
      <c r="E34" s="335">
        <v>0</v>
      </c>
      <c r="F34" s="335">
        <v>6571</v>
      </c>
      <c r="G34" s="335">
        <v>0</v>
      </c>
      <c r="H34" s="335">
        <v>5530</v>
      </c>
      <c r="I34" s="335" t="s">
        <v>1366</v>
      </c>
      <c r="J34" s="336">
        <v>0</v>
      </c>
      <c r="K34" s="336">
        <v>0</v>
      </c>
      <c r="L34" s="336">
        <v>7676.94</v>
      </c>
      <c r="M34" s="336">
        <v>0</v>
      </c>
      <c r="N34" s="336">
        <v>-7676.94</v>
      </c>
    </row>
    <row r="35" spans="1:14" x14ac:dyDescent="0.3">
      <c r="A35" s="335">
        <v>11</v>
      </c>
      <c r="B35" s="335" t="s">
        <v>1374</v>
      </c>
      <c r="C35" s="330" t="str">
        <f t="shared" si="1"/>
        <v>F</v>
      </c>
      <c r="D35" s="335">
        <v>1000</v>
      </c>
      <c r="E35" s="335">
        <v>0</v>
      </c>
      <c r="F35" s="335">
        <v>6450</v>
      </c>
      <c r="G35" s="335">
        <v>0</v>
      </c>
      <c r="H35" s="335">
        <v>5520</v>
      </c>
      <c r="I35" s="335" t="s">
        <v>1359</v>
      </c>
      <c r="J35" s="336">
        <v>0</v>
      </c>
      <c r="K35" s="336">
        <v>0</v>
      </c>
      <c r="L35" s="336">
        <v>1000</v>
      </c>
      <c r="M35" s="336">
        <v>0</v>
      </c>
      <c r="N35" s="336">
        <v>-1000</v>
      </c>
    </row>
  </sheetData>
  <sheetProtection algorithmName="SHA-512" hashValue="T1KzDT/gyDo3+HssHqAonW40iIl36xLTYQPT3ba7H5T94oGhvlwo/W/Y2Xgo74jvmF7NjkcQ8USGGl9zU//+Qw==" saltValue="9Z1Y3qRJY74zg9SwkMZJvQ==" spinCount="100000" sheet="1" selectLockedCells="1" selectUnlockedCells="1"/>
  <autoFilter ref="A8:N35" xr:uid="{00000000-0009-0000-0000-000011000000}"/>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E699"/>
  </sheetPr>
  <dimension ref="A1:E26"/>
  <sheetViews>
    <sheetView tabSelected="1" workbookViewId="0">
      <selection activeCell="G4" sqref="G4"/>
    </sheetView>
  </sheetViews>
  <sheetFormatPr defaultColWidth="9.109375" defaultRowHeight="13.8" x14ac:dyDescent="0.3"/>
  <cols>
    <col min="1" max="1" width="35.6640625" style="32" customWidth="1"/>
    <col min="2" max="4" width="17.33203125" style="32" customWidth="1"/>
    <col min="5" max="5" width="11.6640625" style="32" customWidth="1"/>
    <col min="6" max="16384" width="9.109375" style="32"/>
  </cols>
  <sheetData>
    <row r="1" spans="1:5" ht="21" x14ac:dyDescent="0.4">
      <c r="A1" s="439" t="s">
        <v>17</v>
      </c>
      <c r="B1" s="439"/>
      <c r="C1" s="439"/>
      <c r="D1" s="439"/>
      <c r="E1" s="439"/>
    </row>
    <row r="2" spans="1:5" ht="21" x14ac:dyDescent="0.4">
      <c r="A2" s="248"/>
      <c r="B2" s="248"/>
      <c r="C2" s="248"/>
      <c r="D2" s="248"/>
      <c r="E2" s="248"/>
    </row>
    <row r="3" spans="1:5" ht="16.2" thickBot="1" x14ac:dyDescent="0.35">
      <c r="A3" s="98" t="s">
        <v>18</v>
      </c>
      <c r="B3" s="440" t="s">
        <v>19</v>
      </c>
      <c r="C3" s="440"/>
      <c r="D3" s="440"/>
      <c r="E3" s="99"/>
    </row>
    <row r="4" spans="1:5" ht="16.8" thickTop="1" thickBot="1" x14ac:dyDescent="0.35">
      <c r="A4" s="98" t="s">
        <v>20</v>
      </c>
      <c r="B4" s="441"/>
      <c r="C4" s="442"/>
      <c r="D4" s="443"/>
      <c r="E4" s="99"/>
    </row>
    <row r="5" spans="1:5" ht="16.2" thickTop="1" x14ac:dyDescent="0.3">
      <c r="A5" s="98"/>
      <c r="B5" s="100"/>
      <c r="C5" s="100"/>
      <c r="D5" s="101"/>
      <c r="E5" s="99"/>
    </row>
    <row r="6" spans="1:5" ht="15.6" x14ac:dyDescent="0.3">
      <c r="A6" s="102"/>
      <c r="B6" s="102" t="s">
        <v>21</v>
      </c>
      <c r="C6" s="103" t="s">
        <v>22</v>
      </c>
      <c r="D6" s="103" t="s">
        <v>23</v>
      </c>
      <c r="E6" s="99"/>
    </row>
    <row r="7" spans="1:5" ht="15.9" customHeight="1" x14ac:dyDescent="0.3">
      <c r="A7" s="104" t="s">
        <v>24</v>
      </c>
      <c r="B7" s="110">
        <f>'TCO Estimator'!H16</f>
        <v>861302</v>
      </c>
      <c r="C7" s="110">
        <f>'TCO Estimator'!K16</f>
        <v>1396550.4839999999</v>
      </c>
      <c r="D7" s="110">
        <f>'TCO Estimator'!K16</f>
        <v>1396550.4839999999</v>
      </c>
      <c r="E7" s="99"/>
    </row>
    <row r="8" spans="1:5" ht="15.9" customHeight="1" x14ac:dyDescent="0.3">
      <c r="A8" s="105"/>
      <c r="B8" s="106"/>
      <c r="C8" s="106"/>
      <c r="D8" s="106"/>
      <c r="E8" s="99"/>
    </row>
    <row r="9" spans="1:5" ht="15.9" customHeight="1" x14ac:dyDescent="0.3">
      <c r="A9" s="105" t="s">
        <v>25</v>
      </c>
      <c r="B9" s="111">
        <f>'TCO Estimator'!G20</f>
        <v>12594</v>
      </c>
      <c r="C9" s="111">
        <f>'TCO Estimator'!H20</f>
        <v>0</v>
      </c>
      <c r="D9" s="111">
        <f>'TCO Estimator'!I20</f>
        <v>12594</v>
      </c>
      <c r="E9" s="99"/>
    </row>
    <row r="10" spans="1:5" ht="15.9" customHeight="1" x14ac:dyDescent="0.3">
      <c r="A10" s="105"/>
      <c r="B10" s="106"/>
      <c r="C10" s="106"/>
      <c r="D10" s="106"/>
      <c r="E10" s="99"/>
    </row>
    <row r="11" spans="1:5" ht="15.9" customHeight="1" x14ac:dyDescent="0.3">
      <c r="A11" s="105" t="s">
        <v>26</v>
      </c>
      <c r="B11" s="112">
        <f>'TCO Estimator'!G35</f>
        <v>0</v>
      </c>
      <c r="C11" s="112">
        <f>'TCO Estimator'!H35</f>
        <v>6500</v>
      </c>
      <c r="D11" s="112">
        <f>'TCO Estimator'!I35</f>
        <v>1500</v>
      </c>
      <c r="E11" s="99"/>
    </row>
    <row r="12" spans="1:5" ht="15.9" customHeight="1" x14ac:dyDescent="0.3">
      <c r="A12" s="105"/>
      <c r="B12" s="106"/>
      <c r="C12" s="106"/>
      <c r="D12" s="106"/>
      <c r="E12" s="99"/>
    </row>
    <row r="13" spans="1:5" ht="15.9" customHeight="1" x14ac:dyDescent="0.3">
      <c r="A13" s="105" t="s">
        <v>27</v>
      </c>
      <c r="B13" s="113">
        <f>'TCO Estimator'!G39</f>
        <v>2700</v>
      </c>
      <c r="C13" s="113">
        <f>'TCO Estimator'!H39</f>
        <v>1105</v>
      </c>
      <c r="D13" s="113">
        <f>'TCO Estimator'!I39</f>
        <v>3805</v>
      </c>
      <c r="E13" s="99"/>
    </row>
    <row r="14" spans="1:5" ht="15.9" customHeight="1" x14ac:dyDescent="0.3">
      <c r="A14" s="105"/>
      <c r="B14" s="106"/>
      <c r="C14" s="106"/>
      <c r="D14" s="106"/>
      <c r="E14" s="99"/>
    </row>
    <row r="15" spans="1:5" ht="15.9" customHeight="1" x14ac:dyDescent="0.3">
      <c r="A15" s="104" t="s">
        <v>28</v>
      </c>
      <c r="B15" s="114">
        <f>'TCO Estimator'!G57</f>
        <v>0</v>
      </c>
      <c r="C15" s="114">
        <f>'TCO Estimator'!H57</f>
        <v>0</v>
      </c>
      <c r="D15" s="114">
        <f>'TCO Estimator'!I57</f>
        <v>0</v>
      </c>
      <c r="E15" s="99"/>
    </row>
    <row r="16" spans="1:5" ht="15.9" customHeight="1" x14ac:dyDescent="0.3">
      <c r="A16" s="105"/>
      <c r="B16" s="106"/>
      <c r="C16" s="106"/>
      <c r="D16" s="106"/>
      <c r="E16" s="99"/>
    </row>
    <row r="17" spans="1:5" ht="15.9" customHeight="1" x14ac:dyDescent="0.45">
      <c r="A17" s="98" t="s">
        <v>23</v>
      </c>
      <c r="B17" s="115">
        <f>SUM(B7:B15)</f>
        <v>876596</v>
      </c>
      <c r="C17" s="115">
        <f>SUM(C7:C15)</f>
        <v>1404155.4839999999</v>
      </c>
      <c r="D17" s="115">
        <f>SUM(D7:D15)</f>
        <v>1414449.4839999999</v>
      </c>
      <c r="E17" s="99"/>
    </row>
    <row r="18" spans="1:5" ht="15.6" x14ac:dyDescent="0.3">
      <c r="A18" s="98"/>
      <c r="B18" s="101"/>
      <c r="C18" s="107"/>
      <c r="D18" s="107"/>
      <c r="E18" s="108"/>
    </row>
    <row r="19" spans="1:5" ht="15.6" x14ac:dyDescent="0.3">
      <c r="A19" s="105"/>
      <c r="B19" s="100"/>
      <c r="C19" s="100"/>
      <c r="D19" s="101"/>
      <c r="E19" s="109"/>
    </row>
    <row r="20" spans="1:5" ht="15.6" x14ac:dyDescent="0.3">
      <c r="A20" s="38"/>
      <c r="B20" s="39"/>
      <c r="C20" s="38"/>
      <c r="D20" s="38"/>
    </row>
    <row r="21" spans="1:5" hidden="1" x14ac:dyDescent="0.3">
      <c r="A21" s="32" t="s">
        <v>29</v>
      </c>
      <c r="B21" s="33" t="e">
        <f>'TCO Estimator'!#REF!</f>
        <v>#REF!</v>
      </c>
    </row>
    <row r="22" spans="1:5" hidden="1" x14ac:dyDescent="0.3">
      <c r="B22" s="33"/>
    </row>
    <row r="23" spans="1:5" hidden="1" x14ac:dyDescent="0.3">
      <c r="A23" s="32" t="s">
        <v>30</v>
      </c>
      <c r="B23" s="33" t="e">
        <f>'TCO Estimator'!#REF!</f>
        <v>#REF!</v>
      </c>
    </row>
    <row r="24" spans="1:5" hidden="1" x14ac:dyDescent="0.3">
      <c r="B24" s="33"/>
    </row>
    <row r="25" spans="1:5" hidden="1" x14ac:dyDescent="0.3">
      <c r="A25" s="32" t="s">
        <v>31</v>
      </c>
      <c r="B25" s="34" t="e">
        <f>'TCO Estimator'!#REF!</f>
        <v>#REF!</v>
      </c>
    </row>
    <row r="26" spans="1:5" hidden="1" x14ac:dyDescent="0.3">
      <c r="B26" s="33" t="e">
        <f>SUM(B21:B25)</f>
        <v>#REF!</v>
      </c>
      <c r="D26" s="35"/>
    </row>
  </sheetData>
  <sheetProtection algorithmName="SHA-512" hashValue="DLQMmlsCpUfwze1hr1upCDDYtzF8GFn3SgfNQjiS7AoQ5KJulaBc+Jk/u9Sbn9d2VpD1XItUnM9WARm5PMoPnw==" saltValue="MMCvX4+kW5/pFQOmqFQ37Q==" spinCount="100000" sheet="1" objects="1" scenarios="1"/>
  <mergeCells count="3">
    <mergeCell ref="A1:E1"/>
    <mergeCell ref="B3:D3"/>
    <mergeCell ref="B4:D4"/>
  </mergeCells>
  <phoneticPr fontId="3" type="noConversion"/>
  <printOptions horizontalCentered="1"/>
  <pageMargins left="0.25" right="0.25" top="0.75"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T123"/>
  <sheetViews>
    <sheetView topLeftCell="A11" workbookViewId="0">
      <selection activeCell="A59" sqref="A59:C59"/>
    </sheetView>
  </sheetViews>
  <sheetFormatPr defaultColWidth="9.109375" defaultRowHeight="13.8" x14ac:dyDescent="0.3"/>
  <cols>
    <col min="1" max="1" width="30.33203125" style="52" customWidth="1"/>
    <col min="2" max="2" width="21.33203125" style="52" customWidth="1"/>
    <col min="3" max="3" width="8.109375" style="52" customWidth="1"/>
    <col min="4" max="4" width="22.109375" style="52" customWidth="1"/>
    <col min="5" max="5" width="29.109375" style="55" customWidth="1"/>
    <col min="6" max="6" width="17.88671875" style="55" customWidth="1"/>
    <col min="7" max="7" width="12.33203125" style="53" customWidth="1"/>
    <col min="8" max="8" width="15.44140625" style="54" customWidth="1"/>
    <col min="9" max="9" width="18" style="54" bestFit="1" customWidth="1"/>
    <col min="10" max="10" width="12.33203125" style="54" customWidth="1"/>
    <col min="11" max="11" width="11.5546875" style="41" bestFit="1" customWidth="1"/>
    <col min="12" max="12" width="9.88671875" style="41" bestFit="1" customWidth="1"/>
    <col min="13" max="13" width="14.88671875" style="418" customWidth="1"/>
    <col min="14" max="14" width="9.109375" style="424"/>
    <col min="15" max="16384" width="9.109375" style="41"/>
  </cols>
  <sheetData>
    <row r="1" spans="1:20" s="237" customFormat="1" ht="23.4" x14ac:dyDescent="0.45">
      <c r="A1" s="458" t="s">
        <v>32</v>
      </c>
      <c r="B1" s="458"/>
      <c r="C1" s="458"/>
      <c r="D1" s="458"/>
      <c r="E1" s="458"/>
      <c r="F1" s="458"/>
      <c r="G1" s="458"/>
      <c r="H1" s="458"/>
      <c r="I1" s="458"/>
      <c r="J1" s="458"/>
      <c r="M1" s="417"/>
      <c r="N1" s="423"/>
    </row>
    <row r="2" spans="1:20" ht="9.9" customHeight="1" x14ac:dyDescent="0.4">
      <c r="A2" s="226"/>
      <c r="B2" s="226"/>
      <c r="C2" s="226"/>
      <c r="D2" s="226"/>
      <c r="E2" s="226"/>
      <c r="F2" s="226"/>
      <c r="G2" s="226"/>
      <c r="H2" s="226"/>
      <c r="I2" s="226"/>
      <c r="J2" s="226"/>
    </row>
    <row r="3" spans="1:20" ht="49.5" customHeight="1" x14ac:dyDescent="0.65">
      <c r="A3" s="451" t="s">
        <v>24</v>
      </c>
      <c r="B3" s="452"/>
      <c r="C3" s="452"/>
      <c r="D3" s="473" t="s">
        <v>33</v>
      </c>
      <c r="E3" s="473"/>
      <c r="F3" s="473"/>
      <c r="G3" s="239" t="s">
        <v>34</v>
      </c>
      <c r="H3" s="239" t="s">
        <v>35</v>
      </c>
      <c r="I3" s="239" t="s">
        <v>36</v>
      </c>
      <c r="J3" s="239" t="s">
        <v>37</v>
      </c>
      <c r="K3" s="240" t="s">
        <v>23</v>
      </c>
      <c r="M3" s="419"/>
      <c r="N3" s="425"/>
      <c r="O3" s="97"/>
      <c r="P3" s="97"/>
    </row>
    <row r="4" spans="1:20" s="43" customFormat="1" ht="15.9" customHeight="1" x14ac:dyDescent="0.3">
      <c r="A4" s="450" t="s">
        <v>38</v>
      </c>
      <c r="B4" s="444"/>
      <c r="C4" s="444"/>
      <c r="D4" s="462" t="s">
        <v>39</v>
      </c>
      <c r="E4" s="462"/>
      <c r="F4" s="462"/>
      <c r="G4" s="117"/>
      <c r="H4" s="145">
        <f>IF(D4="","",(VLOOKUP(D4,'Administrator Job Titles '!A$1:$G186,3)))</f>
        <v>185925</v>
      </c>
      <c r="I4" s="145">
        <f>IF(D4="","",ROUND('RATE SHEET'!$F$8*'TCO Estimator'!H4,0))</f>
        <v>47225</v>
      </c>
      <c r="J4" s="145">
        <f>'RATE SHEET'!$B$20</f>
        <v>42152</v>
      </c>
      <c r="K4" s="241">
        <f>IF(D4="","",(H4+I4+J4))</f>
        <v>275302</v>
      </c>
      <c r="M4" s="419"/>
      <c r="N4" s="426"/>
      <c r="O4" s="325"/>
      <c r="P4" s="325"/>
      <c r="Q4" s="325"/>
      <c r="R4" s="325"/>
      <c r="S4" s="325"/>
      <c r="T4" s="325"/>
    </row>
    <row r="5" spans="1:20" s="43" customFormat="1" ht="15.9" customHeight="1" x14ac:dyDescent="0.3">
      <c r="A5" s="450" t="s">
        <v>1403</v>
      </c>
      <c r="B5" s="444"/>
      <c r="C5" s="444"/>
      <c r="D5" s="462" t="s">
        <v>40</v>
      </c>
      <c r="E5" s="462"/>
      <c r="F5" s="462"/>
      <c r="G5" s="117"/>
      <c r="H5" s="145">
        <f>IF(D5="","",(VLOOKUP(D5,'Administrator Job Titles '!A$1:$G186,3)))</f>
        <v>158716</v>
      </c>
      <c r="I5" s="145">
        <f>IF(D5="","",ROUND('RATE SHEET'!$F$7*'TCO Estimator'!H5,0))</f>
        <v>62391</v>
      </c>
      <c r="J5" s="145">
        <f>'RATE SHEET'!$B$20</f>
        <v>42152</v>
      </c>
      <c r="K5" s="241">
        <f>IF(D5="","",(H5++I5+J5))</f>
        <v>263259</v>
      </c>
      <c r="M5" s="419"/>
      <c r="N5" s="426"/>
      <c r="O5" s="325"/>
      <c r="P5" s="325"/>
      <c r="Q5" s="325"/>
      <c r="R5" s="325"/>
      <c r="S5" s="325"/>
      <c r="T5" s="325"/>
    </row>
    <row r="6" spans="1:20" s="43" customFormat="1" ht="15.9" customHeight="1" x14ac:dyDescent="0.3">
      <c r="A6" s="450" t="s">
        <v>41</v>
      </c>
      <c r="B6" s="444"/>
      <c r="C6" s="444"/>
      <c r="D6" s="455" t="s">
        <v>42</v>
      </c>
      <c r="E6" s="455" t="s">
        <v>43</v>
      </c>
      <c r="F6" s="455" t="s">
        <v>43</v>
      </c>
      <c r="G6" s="117"/>
      <c r="H6" s="145">
        <f>IF(D6="","",(VLOOKUP(D6,'Classified Job Titles'!$A$2:$G$181,3)))</f>
        <v>62400</v>
      </c>
      <c r="I6" s="145">
        <f>IF(D6="","",ROUND('RATE SHEET'!$F$7*'TCO Estimator'!H6,0))</f>
        <v>24529</v>
      </c>
      <c r="J6" s="145">
        <f>'RATE SHEET'!$B$20</f>
        <v>42152</v>
      </c>
      <c r="K6" s="241">
        <f t="shared" ref="K6:K7" si="0">IF(D6="","",(H6++I6+J6))</f>
        <v>129081</v>
      </c>
      <c r="M6" s="419"/>
      <c r="N6" s="426"/>
    </row>
    <row r="7" spans="1:20" s="43" customFormat="1" ht="15.9" customHeight="1" x14ac:dyDescent="0.3">
      <c r="A7" s="450" t="s">
        <v>44</v>
      </c>
      <c r="B7" s="444"/>
      <c r="C7" s="444"/>
      <c r="D7" s="455" t="s">
        <v>45</v>
      </c>
      <c r="E7" s="455"/>
      <c r="F7" s="455"/>
      <c r="G7" s="117"/>
      <c r="H7" s="145">
        <f>IF(D7="","",(VLOOKUP(D7,'Classified Job Titles'!$A$2:$G$181,3)))</f>
        <v>86460</v>
      </c>
      <c r="I7" s="145">
        <f>IF(D7="","",ROUND('RATE SHEET'!$F$7*'TCO Estimator'!H7,0))</f>
        <v>33987</v>
      </c>
      <c r="J7" s="145">
        <f>'RATE SHEET'!$B$20</f>
        <v>42152</v>
      </c>
      <c r="K7" s="241">
        <f t="shared" si="0"/>
        <v>162599</v>
      </c>
      <c r="M7" s="419"/>
      <c r="N7" s="426"/>
    </row>
    <row r="8" spans="1:20" s="43" customFormat="1" ht="15.9" customHeight="1" x14ac:dyDescent="0.3">
      <c r="A8" s="242" t="s">
        <v>46</v>
      </c>
      <c r="B8" s="119" t="s">
        <v>47</v>
      </c>
      <c r="C8" s="406">
        <v>0.25</v>
      </c>
      <c r="D8" s="455" t="s">
        <v>48</v>
      </c>
      <c r="E8" s="455" t="s">
        <v>49</v>
      </c>
      <c r="F8" s="455" t="s">
        <v>49</v>
      </c>
      <c r="G8" s="117"/>
      <c r="H8" s="145">
        <f>IF($D8="","",VLOOKUP(D8,'Classified Job Titles'!$A$2:$G$181,3)*C8)</f>
        <v>20691</v>
      </c>
      <c r="I8" s="145">
        <f>IF($C$8&gt;=0.5,($H$8*'RATE SHEET'!$F$7),($H$8*'RATE SHEET'!F9))</f>
        <v>1303.5329999999999</v>
      </c>
      <c r="J8" s="145">
        <f>IF($C$8&gt;=0.5,($C$8*'RATE SHEET'!B20),0)</f>
        <v>0</v>
      </c>
      <c r="K8" s="241">
        <f>IF(C8="","",(H8++I8+J8))</f>
        <v>21994.532999999999</v>
      </c>
      <c r="M8" s="421"/>
      <c r="N8" s="426"/>
    </row>
    <row r="9" spans="1:20" s="43" customFormat="1" ht="15.9" customHeight="1" x14ac:dyDescent="0.3">
      <c r="A9" s="242" t="s">
        <v>50</v>
      </c>
      <c r="B9" s="119" t="s">
        <v>51</v>
      </c>
      <c r="C9" s="407">
        <v>1</v>
      </c>
      <c r="D9" s="464" t="str">
        <f>"All Full Time Faculty are Costed at H-6 ($"&amp;TEXT('TCO Full Time Fac'!$C$1,"##,###")&amp;")"</f>
        <v>All Full Time Faculty are Costed at H-6 ($135,587)</v>
      </c>
      <c r="E9" s="464"/>
      <c r="F9" s="464"/>
      <c r="G9" s="117"/>
      <c r="H9" s="145">
        <f>IF(OR(C9="",C9=0),"",C9*'TCO Full Time Fac'!C1)</f>
        <v>135587</v>
      </c>
      <c r="I9" s="145">
        <f>IF($C$9="","",($H$9*'TCO Full Time Fac'!$B$8))</f>
        <v>34439.097999999998</v>
      </c>
      <c r="J9" s="145">
        <f>IF(H9="","",('TCO Full Time Fac'!$C$9))</f>
        <v>42152</v>
      </c>
      <c r="K9" s="241">
        <f>IF(C9="","",(H9++I9+J9))</f>
        <v>212178.098</v>
      </c>
      <c r="M9" s="421"/>
      <c r="N9" s="426"/>
    </row>
    <row r="10" spans="1:20" s="43" customFormat="1" ht="15.9" customHeight="1" x14ac:dyDescent="0.3">
      <c r="A10" s="242" t="s">
        <v>52</v>
      </c>
      <c r="B10" s="119" t="s">
        <v>51</v>
      </c>
      <c r="C10" s="407">
        <v>1</v>
      </c>
      <c r="D10" s="464" t="str">
        <f>"All Full Time Counselors/Librarians are Costed at H-6 ($"&amp;TEXT('TCP Full Time CounsLib'!$C$1,"##,###")&amp;")"</f>
        <v>All Full Time Counselors/Librarians are Costed at H-6 ($143,291)</v>
      </c>
      <c r="E10" s="464"/>
      <c r="F10" s="464"/>
      <c r="G10" s="117"/>
      <c r="H10" s="145">
        <f>IF(OR(C10="",C10=0),"",C10*'TCP Full Time CounsLib'!C1)</f>
        <v>143291</v>
      </c>
      <c r="I10" s="145">
        <f>IF(H10="","",'TCO Full Time CounsLib'!C8)</f>
        <v>36398</v>
      </c>
      <c r="J10" s="145">
        <f>IF(H10="","",('TCO Full Time CounsLib'!$C$9))</f>
        <v>42151.799999999996</v>
      </c>
      <c r="K10" s="241">
        <f>IF(C10="","",(H10++I10+J10))</f>
        <v>221840.8</v>
      </c>
      <c r="M10" s="419"/>
      <c r="N10" s="426"/>
    </row>
    <row r="11" spans="1:20" s="43" customFormat="1" ht="36" customHeight="1" x14ac:dyDescent="0.3">
      <c r="A11" s="243"/>
      <c r="B11" s="120"/>
      <c r="C11" s="121"/>
      <c r="D11" s="227" t="s">
        <v>53</v>
      </c>
      <c r="E11" s="238" t="s">
        <v>54</v>
      </c>
      <c r="F11" s="288" t="s">
        <v>55</v>
      </c>
      <c r="G11" s="122"/>
      <c r="H11" s="252"/>
      <c r="I11" s="252"/>
      <c r="J11" s="252"/>
      <c r="K11" s="252"/>
      <c r="M11" s="416"/>
      <c r="N11" s="427"/>
    </row>
    <row r="12" spans="1:20" s="43" customFormat="1" ht="15.9" customHeight="1" x14ac:dyDescent="0.3">
      <c r="A12" s="242" t="s">
        <v>56</v>
      </c>
      <c r="B12" s="119" t="s">
        <v>57</v>
      </c>
      <c r="C12" s="408">
        <v>100</v>
      </c>
      <c r="D12" s="409" t="s">
        <v>58</v>
      </c>
      <c r="E12" s="410">
        <f>IF(D12="","",(VLOOKUP(D12,'Short Term NonClassified Titles'!$A$1:$B$118,2)))</f>
        <v>16.5</v>
      </c>
      <c r="F12" s="150" t="s">
        <v>59</v>
      </c>
      <c r="G12" s="145">
        <f>IF(AND($C$12&gt;0,$F$12="no"),ROUND($C$12*$E$12,0),"0")</f>
        <v>1650</v>
      </c>
      <c r="H12" s="145" t="str">
        <f>IF(AND($C$12&gt;0,$F$12="Yes"),ROUND($C$12*$E$12,0),"0")</f>
        <v>0</v>
      </c>
      <c r="I12" s="145">
        <f>IF(D12="","",((G12+H12)*'RATE SHEET'!$F$5))</f>
        <v>206.25</v>
      </c>
      <c r="J12" s="145"/>
      <c r="K12" s="145">
        <f>G12+H12+I12+J12</f>
        <v>1856.25</v>
      </c>
      <c r="M12" s="420"/>
      <c r="N12" s="427"/>
    </row>
    <row r="13" spans="1:20" s="43" customFormat="1" ht="15.9" customHeight="1" x14ac:dyDescent="0.3">
      <c r="A13" s="242" t="s">
        <v>60</v>
      </c>
      <c r="B13" s="119" t="s">
        <v>57</v>
      </c>
      <c r="C13" s="408">
        <v>980</v>
      </c>
      <c r="D13" s="409" t="s">
        <v>61</v>
      </c>
      <c r="E13" s="411">
        <f>IF(D13="","",(VLOOKUP(D13,'Student Employment'!$A$4:$E$8,5,FALSE)))</f>
        <v>20.75</v>
      </c>
      <c r="F13" s="150" t="s">
        <v>59</v>
      </c>
      <c r="G13" s="145">
        <f>IF(AND($C$13&gt;0,$F$13="no"),ROUND($C$13*$E$13,0),"0")</f>
        <v>20335</v>
      </c>
      <c r="H13" s="145" t="str">
        <f>IF(AND($C$13&gt;0,$F$13="Yes"),ROUND($C$13*$E$13,0),"0")</f>
        <v>0</v>
      </c>
      <c r="I13" s="145">
        <f>IF(D13="","",(G13+H13)*'RATE SHEET'!$F$5)</f>
        <v>2541.875</v>
      </c>
      <c r="J13" s="145"/>
      <c r="K13" s="145">
        <f t="shared" ref="K13:K15" si="1">G13+H13+I13+J13</f>
        <v>22876.875</v>
      </c>
      <c r="M13" s="420"/>
      <c r="N13" s="427"/>
    </row>
    <row r="14" spans="1:20" s="43" customFormat="1" ht="15.9" customHeight="1" x14ac:dyDescent="0.3">
      <c r="A14" s="242" t="s">
        <v>63</v>
      </c>
      <c r="B14" s="414" t="s">
        <v>64</v>
      </c>
      <c r="C14" s="412">
        <v>1</v>
      </c>
      <c r="D14" s="479" t="str">
        <f>"Associate Faculty Costed at $"&amp;TEXT('TCO Full Time Fac'!$C$16,"##,###.##")&amp;"/hr"</f>
        <v>Associate Faculty Costed at $121.84/hr</v>
      </c>
      <c r="E14" s="479"/>
      <c r="F14" s="150" t="s">
        <v>62</v>
      </c>
      <c r="G14" s="145" t="str">
        <f>IF($B$14="Enter FTE Load",IF($F$14="No",ROUND($C$14*'TCP Assoc FacCousLib'!$C$17,0),"0"),IF($F$14="No",ROUND($C$14*'TCO Full Time Fac'!$C$16,0),"0"))</f>
        <v>0</v>
      </c>
      <c r="H14" s="145">
        <f>IF($B$14="Enter FTE Load",IF($F$14="Yes",ROUND($C$14*'TCP Assoc FacCousLib'!$C$17,0),"0"),IF($F$14="Yes",ROUND($C$14*'TCO Full Time Fac'!$C$16,0),"0"))</f>
        <v>34116</v>
      </c>
      <c r="I14" s="145">
        <f>IF(D14="","",(G14+H14)*'TCP Assoc FacCousLib'!$B$7)</f>
        <v>8665.4639999999999</v>
      </c>
      <c r="J14" s="145"/>
      <c r="K14" s="145">
        <f t="shared" si="1"/>
        <v>42781.464</v>
      </c>
      <c r="M14" s="420"/>
      <c r="N14" s="427"/>
    </row>
    <row r="15" spans="1:20" s="43" customFormat="1" ht="15.9" customHeight="1" thickBot="1" x14ac:dyDescent="0.35">
      <c r="A15" s="244" t="s">
        <v>65</v>
      </c>
      <c r="B15" s="415" t="s">
        <v>64</v>
      </c>
      <c r="C15" s="413">
        <v>1</v>
      </c>
      <c r="D15" s="456" t="str">
        <f>"PT Counselor/Librarian Costed at $"&amp;TEXT('TCO Full Time Fac'!$C$16,"##,###.##")&amp;"/hr"</f>
        <v>PT Counselor/Librarian Costed at $121.84/hr</v>
      </c>
      <c r="E15" s="456"/>
      <c r="F15" s="245" t="s">
        <v>62</v>
      </c>
      <c r="G15" s="246" t="str">
        <f>IF($B$15="Enter FTE Load",IF($F$15="No",ROUND($C$15*'TCP Assoc FacCousLib'!$C$17,0),"0"),IF($F$15="No",ROUND($C$15*'TCO Full Time Fac'!$C$16,0),"0"))</f>
        <v>0</v>
      </c>
      <c r="H15" s="246">
        <f>IF($B$15="Enter FTE Load",IF($F$15="Yes",ROUND($C$15*'TCP Assoc FacCousLib'!$C$17,0),"0"),IF($F$15="Yes",ROUND($C$15*'TCO Full Time Fac'!$C$16,0),"0"))</f>
        <v>34116</v>
      </c>
      <c r="I15" s="246">
        <f>IF(D15="","",(G15+H15)*'TCP Assoc FacCousLib'!$B$7)</f>
        <v>8665.4639999999999</v>
      </c>
      <c r="J15" s="246"/>
      <c r="K15" s="404">
        <f t="shared" si="1"/>
        <v>42781.464</v>
      </c>
      <c r="M15" s="420"/>
      <c r="N15" s="428"/>
    </row>
    <row r="16" spans="1:20" s="43" customFormat="1" ht="21" customHeight="1" thickBot="1" x14ac:dyDescent="0.4">
      <c r="A16" s="470" t="s">
        <v>66</v>
      </c>
      <c r="B16" s="471"/>
      <c r="C16" s="471"/>
      <c r="D16" s="454"/>
      <c r="E16" s="454"/>
      <c r="F16" s="454"/>
      <c r="G16" s="247">
        <f>SUM(G4:G15)</f>
        <v>21985</v>
      </c>
      <c r="H16" s="247">
        <f>SUM(H4:H15)</f>
        <v>861302</v>
      </c>
      <c r="I16" s="247">
        <f t="shared" ref="I16:J16" si="2">SUM(I4:I15)</f>
        <v>260351.68400000001</v>
      </c>
      <c r="J16" s="247">
        <f t="shared" si="2"/>
        <v>252911.8</v>
      </c>
      <c r="K16" s="247">
        <f>SUM(K4:K15)</f>
        <v>1396550.4839999999</v>
      </c>
      <c r="M16" s="422"/>
      <c r="N16" s="427"/>
    </row>
    <row r="17" spans="1:14" s="43" customFormat="1" ht="9" customHeight="1" x14ac:dyDescent="0.35">
      <c r="A17" s="124"/>
      <c r="B17" s="125"/>
      <c r="C17" s="125"/>
      <c r="D17" s="126"/>
      <c r="E17" s="126"/>
      <c r="F17" s="126"/>
      <c r="G17" s="45"/>
      <c r="H17" s="127"/>
      <c r="I17" s="127"/>
      <c r="J17" s="127"/>
      <c r="M17" s="420"/>
      <c r="N17" s="427"/>
    </row>
    <row r="18" spans="1:14" s="43" customFormat="1" ht="33.9" customHeight="1" x14ac:dyDescent="0.35">
      <c r="A18" s="305" t="s">
        <v>67</v>
      </c>
      <c r="B18" s="306"/>
      <c r="C18" s="307"/>
      <c r="D18" s="308"/>
      <c r="E18" s="308"/>
      <c r="F18" s="308"/>
      <c r="G18" s="129" t="s">
        <v>68</v>
      </c>
      <c r="H18" s="129" t="s">
        <v>22</v>
      </c>
      <c r="I18" s="129" t="s">
        <v>23</v>
      </c>
      <c r="J18" s="45"/>
      <c r="M18" s="420"/>
      <c r="N18" s="427"/>
    </row>
    <row r="19" spans="1:14" s="43" customFormat="1" ht="15.6" x14ac:dyDescent="0.3">
      <c r="A19" s="303" t="s">
        <v>69</v>
      </c>
      <c r="B19" s="303"/>
      <c r="C19" s="474" t="s">
        <v>70</v>
      </c>
      <c r="D19" s="475"/>
      <c r="E19" s="475"/>
      <c r="F19" s="475"/>
      <c r="G19" s="304">
        <f>IF($C$9&gt;0,(($C$9+$C$10)*'RATE SHEET'!$A$42),IF($C$10&gt;0,(($C$9+$C$10)*'RATE SHEET'!$A$42),""))</f>
        <v>12594</v>
      </c>
      <c r="H19" s="117"/>
      <c r="I19" s="146">
        <f>IF(G19="","",G19)</f>
        <v>12594</v>
      </c>
      <c r="J19" s="45"/>
      <c r="M19" s="420"/>
      <c r="N19" s="427"/>
    </row>
    <row r="20" spans="1:14" s="43" customFormat="1" ht="21" customHeight="1" x14ac:dyDescent="0.35">
      <c r="D20" s="457" t="s">
        <v>71</v>
      </c>
      <c r="E20" s="457"/>
      <c r="F20" s="457"/>
      <c r="G20" s="56">
        <f>SUM(G19)</f>
        <v>12594</v>
      </c>
      <c r="H20" s="123"/>
      <c r="I20" s="57">
        <f>SUM(I19)</f>
        <v>12594</v>
      </c>
      <c r="J20" s="45"/>
      <c r="M20" s="420"/>
      <c r="N20" s="427"/>
    </row>
    <row r="21" spans="1:14" s="43" customFormat="1" ht="9" customHeight="1" x14ac:dyDescent="0.35">
      <c r="A21" s="124"/>
      <c r="B21" s="125"/>
      <c r="C21" s="125"/>
      <c r="D21" s="300"/>
      <c r="E21" s="300"/>
      <c r="F21" s="300"/>
      <c r="G21" s="128"/>
      <c r="H21" s="128"/>
      <c r="I21" s="128"/>
      <c r="J21" s="45"/>
      <c r="M21" s="420"/>
      <c r="N21" s="427"/>
    </row>
    <row r="22" spans="1:14" s="43" customFormat="1" ht="21" customHeight="1" x14ac:dyDescent="0.35">
      <c r="A22" s="233" t="s">
        <v>72</v>
      </c>
      <c r="B22" s="234"/>
      <c r="C22" s="235"/>
      <c r="D22" s="236"/>
      <c r="E22" s="236"/>
      <c r="F22" s="132"/>
      <c r="G22" s="133"/>
      <c r="H22" s="133"/>
      <c r="I22" s="133"/>
      <c r="J22" s="45"/>
      <c r="M22" s="420"/>
      <c r="N22" s="427"/>
    </row>
    <row r="23" spans="1:14" s="43" customFormat="1" ht="37.5" customHeight="1" x14ac:dyDescent="0.35">
      <c r="A23" s="134" t="s">
        <v>7</v>
      </c>
      <c r="B23" s="134"/>
      <c r="C23" s="135" t="s">
        <v>73</v>
      </c>
      <c r="D23" s="453" t="s">
        <v>74</v>
      </c>
      <c r="E23" s="453"/>
      <c r="F23" s="453"/>
      <c r="G23" s="136" t="s">
        <v>68</v>
      </c>
      <c r="H23" s="136" t="s">
        <v>22</v>
      </c>
      <c r="I23" s="136" t="s">
        <v>23</v>
      </c>
      <c r="J23" s="137"/>
      <c r="M23" s="420"/>
      <c r="N23" s="427"/>
    </row>
    <row r="24" spans="1:14" s="43" customFormat="1" ht="15.6" x14ac:dyDescent="0.3">
      <c r="A24" s="118" t="s">
        <v>75</v>
      </c>
      <c r="B24" s="118"/>
      <c r="C24" s="151"/>
      <c r="D24" s="444"/>
      <c r="E24" s="444"/>
      <c r="F24" s="444"/>
      <c r="G24" s="36"/>
      <c r="H24" s="138">
        <v>5000</v>
      </c>
      <c r="I24" s="146">
        <f>G24</f>
        <v>0</v>
      </c>
      <c r="J24" s="137"/>
      <c r="M24" s="420"/>
      <c r="N24" s="427"/>
    </row>
    <row r="25" spans="1:14" s="43" customFormat="1" ht="31.2" x14ac:dyDescent="0.3">
      <c r="A25" s="118" t="s">
        <v>76</v>
      </c>
      <c r="B25" s="118"/>
      <c r="C25" s="151"/>
      <c r="D25" s="444"/>
      <c r="E25" s="444"/>
      <c r="F25" s="444"/>
      <c r="G25" s="36"/>
      <c r="H25" s="36"/>
      <c r="I25" s="146">
        <f>G25+H25</f>
        <v>0</v>
      </c>
      <c r="J25" s="137"/>
      <c r="M25" s="420"/>
      <c r="N25" s="427"/>
    </row>
    <row r="26" spans="1:14" s="43" customFormat="1" ht="15.6" x14ac:dyDescent="0.3">
      <c r="A26" s="118" t="s">
        <v>77</v>
      </c>
      <c r="B26" s="118"/>
      <c r="C26" s="151"/>
      <c r="D26" s="444"/>
      <c r="E26" s="444"/>
      <c r="F26" s="444"/>
      <c r="G26" s="36"/>
      <c r="H26" s="138"/>
      <c r="I26" s="146">
        <f>G26</f>
        <v>0</v>
      </c>
      <c r="J26" s="137"/>
      <c r="M26" s="420"/>
      <c r="N26" s="427"/>
    </row>
    <row r="27" spans="1:14" s="43" customFormat="1" ht="15.6" x14ac:dyDescent="0.3">
      <c r="A27" s="118" t="s">
        <v>78</v>
      </c>
      <c r="B27" s="118"/>
      <c r="C27" s="151"/>
      <c r="D27" s="444"/>
      <c r="E27" s="444"/>
      <c r="F27" s="444"/>
      <c r="G27" s="36"/>
      <c r="H27" s="138"/>
      <c r="I27" s="146">
        <f>G27</f>
        <v>0</v>
      </c>
      <c r="J27" s="137"/>
      <c r="M27" s="420"/>
      <c r="N27" s="427"/>
    </row>
    <row r="28" spans="1:14" s="43" customFormat="1" ht="15.6" x14ac:dyDescent="0.3">
      <c r="A28" s="118" t="s">
        <v>79</v>
      </c>
      <c r="B28" s="118"/>
      <c r="C28" s="138"/>
      <c r="D28" s="444"/>
      <c r="E28" s="444"/>
      <c r="F28" s="444"/>
      <c r="G28" s="36"/>
      <c r="H28" s="138"/>
      <c r="I28" s="146">
        <f>G28+H28</f>
        <v>0</v>
      </c>
      <c r="J28" s="137"/>
      <c r="M28" s="420"/>
      <c r="N28" s="427"/>
    </row>
    <row r="29" spans="1:14" s="43" customFormat="1" ht="15" customHeight="1" x14ac:dyDescent="0.3">
      <c r="A29" s="118" t="s">
        <v>80</v>
      </c>
      <c r="B29" s="118"/>
      <c r="C29" s="138"/>
      <c r="D29" s="444"/>
      <c r="E29" s="444"/>
      <c r="F29" s="444"/>
      <c r="G29" s="36"/>
      <c r="H29" s="138">
        <v>500</v>
      </c>
      <c r="I29" s="146">
        <f t="shared" ref="I29:I34" si="3">G29+H29</f>
        <v>500</v>
      </c>
      <c r="J29" s="137"/>
      <c r="M29" s="420"/>
      <c r="N29" s="427"/>
    </row>
    <row r="30" spans="1:14" s="43" customFormat="1" ht="15.6" x14ac:dyDescent="0.3">
      <c r="A30" s="118" t="s">
        <v>81</v>
      </c>
      <c r="B30" s="118"/>
      <c r="C30" s="138"/>
      <c r="D30" s="444"/>
      <c r="E30" s="444"/>
      <c r="F30" s="444"/>
      <c r="G30" s="36"/>
      <c r="H30" s="138"/>
      <c r="I30" s="146">
        <f t="shared" si="3"/>
        <v>0</v>
      </c>
      <c r="J30" s="137"/>
      <c r="M30" s="420"/>
      <c r="N30" s="427"/>
    </row>
    <row r="31" spans="1:14" s="43" customFormat="1" ht="15.6" x14ac:dyDescent="0.3">
      <c r="A31" s="118" t="s">
        <v>82</v>
      </c>
      <c r="B31" s="118"/>
      <c r="C31" s="138"/>
      <c r="D31" s="444"/>
      <c r="E31" s="444"/>
      <c r="F31" s="444"/>
      <c r="G31" s="36"/>
      <c r="H31" s="138"/>
      <c r="I31" s="146">
        <f t="shared" si="3"/>
        <v>0</v>
      </c>
      <c r="J31" s="137"/>
      <c r="M31" s="420"/>
      <c r="N31" s="427"/>
    </row>
    <row r="32" spans="1:14" s="43" customFormat="1" ht="15.6" x14ac:dyDescent="0.3">
      <c r="A32" s="118" t="s">
        <v>83</v>
      </c>
      <c r="B32" s="118"/>
      <c r="C32" s="138"/>
      <c r="D32" s="444"/>
      <c r="E32" s="444"/>
      <c r="F32" s="444"/>
      <c r="G32" s="36"/>
      <c r="H32" s="138"/>
      <c r="I32" s="146">
        <f t="shared" si="3"/>
        <v>0</v>
      </c>
      <c r="J32" s="137"/>
      <c r="M32" s="420"/>
      <c r="N32" s="427"/>
    </row>
    <row r="33" spans="1:14" s="43" customFormat="1" ht="15.6" x14ac:dyDescent="0.3">
      <c r="A33" s="118" t="s">
        <v>84</v>
      </c>
      <c r="B33" s="118"/>
      <c r="C33" s="138"/>
      <c r="D33" s="444"/>
      <c r="E33" s="444"/>
      <c r="F33" s="444"/>
      <c r="G33" s="36"/>
      <c r="H33" s="138"/>
      <c r="I33" s="146">
        <f t="shared" si="3"/>
        <v>0</v>
      </c>
      <c r="J33" s="137"/>
      <c r="M33" s="420"/>
      <c r="N33" s="427"/>
    </row>
    <row r="34" spans="1:14" s="43" customFormat="1" ht="15.6" x14ac:dyDescent="0.3">
      <c r="A34" s="118" t="s">
        <v>85</v>
      </c>
      <c r="B34" s="118"/>
      <c r="C34" s="138"/>
      <c r="D34" s="444"/>
      <c r="E34" s="444"/>
      <c r="F34" s="444"/>
      <c r="G34" s="36"/>
      <c r="H34" s="138">
        <v>1000</v>
      </c>
      <c r="I34" s="146">
        <f t="shared" si="3"/>
        <v>1000</v>
      </c>
      <c r="J34" s="137"/>
      <c r="M34" s="420"/>
      <c r="N34" s="427"/>
    </row>
    <row r="35" spans="1:14" s="43" customFormat="1" ht="21.9" customHeight="1" x14ac:dyDescent="0.35">
      <c r="D35" s="446" t="s">
        <v>86</v>
      </c>
      <c r="E35" s="447"/>
      <c r="F35" s="447"/>
      <c r="G35" s="56">
        <f>SUM(G24:G34)</f>
        <v>0</v>
      </c>
      <c r="H35" s="56">
        <f>SUM(H24:H34)</f>
        <v>6500</v>
      </c>
      <c r="I35" s="57">
        <f>SUM(I24:I34)</f>
        <v>1500</v>
      </c>
      <c r="J35" s="137"/>
      <c r="M35" s="420"/>
      <c r="N35" s="427"/>
    </row>
    <row r="36" spans="1:14" s="43" customFormat="1" ht="9.9" customHeight="1" x14ac:dyDescent="0.3">
      <c r="A36" s="139"/>
      <c r="B36" s="120"/>
      <c r="C36" s="46"/>
      <c r="D36" s="250"/>
      <c r="E36" s="250"/>
      <c r="F36" s="250"/>
      <c r="G36" s="45"/>
      <c r="H36" s="122"/>
      <c r="I36" s="47"/>
      <c r="J36" s="137"/>
      <c r="M36" s="420"/>
      <c r="N36" s="427"/>
    </row>
    <row r="37" spans="1:14" s="43" customFormat="1" ht="31.8" x14ac:dyDescent="0.35">
      <c r="A37" s="140" t="s">
        <v>27</v>
      </c>
      <c r="B37" s="141"/>
      <c r="C37" s="301" t="s">
        <v>73</v>
      </c>
      <c r="D37" s="472"/>
      <c r="E37" s="472"/>
      <c r="F37" s="472"/>
      <c r="G37" s="60" t="s">
        <v>87</v>
      </c>
      <c r="H37" s="60" t="s">
        <v>88</v>
      </c>
      <c r="I37" s="61" t="s">
        <v>23</v>
      </c>
      <c r="J37" s="137"/>
      <c r="M37" s="420"/>
      <c r="N37" s="427"/>
    </row>
    <row r="38" spans="1:14" s="43" customFormat="1" ht="24" customHeight="1" x14ac:dyDescent="0.35">
      <c r="A38" s="130" t="s">
        <v>89</v>
      </c>
      <c r="B38" s="131"/>
      <c r="C38" s="302">
        <v>5</v>
      </c>
      <c r="D38" s="468" t="s">
        <v>90</v>
      </c>
      <c r="E38" s="449"/>
      <c r="F38" s="449"/>
      <c r="G38" s="147">
        <f>Technology!D8</f>
        <v>2700</v>
      </c>
      <c r="H38" s="147">
        <f>Technology!D21</f>
        <v>1105</v>
      </c>
      <c r="I38" s="148">
        <f>G38+H38</f>
        <v>3805</v>
      </c>
      <c r="J38" s="137"/>
      <c r="M38" s="420"/>
      <c r="N38" s="427"/>
    </row>
    <row r="39" spans="1:14" s="43" customFormat="1" ht="24.9" customHeight="1" x14ac:dyDescent="0.35">
      <c r="D39" s="446" t="s">
        <v>91</v>
      </c>
      <c r="E39" s="447"/>
      <c r="F39" s="463"/>
      <c r="G39" s="56">
        <f>SUM(G38)</f>
        <v>2700</v>
      </c>
      <c r="H39" s="56">
        <f>SUM(H38)</f>
        <v>1105</v>
      </c>
      <c r="I39" s="57">
        <f>SUM(I38)</f>
        <v>3805</v>
      </c>
      <c r="J39" s="137"/>
      <c r="M39" s="420"/>
      <c r="N39" s="427"/>
    </row>
    <row r="40" spans="1:14" s="43" customFormat="1" ht="11.4" customHeight="1" x14ac:dyDescent="0.35">
      <c r="A40" s="466"/>
      <c r="B40" s="467"/>
      <c r="C40" s="467"/>
      <c r="D40" s="469"/>
      <c r="E40" s="469"/>
      <c r="F40" s="469"/>
      <c r="G40" s="45"/>
      <c r="H40" s="47"/>
      <c r="I40" s="47"/>
      <c r="J40" s="137"/>
      <c r="M40" s="420"/>
      <c r="N40" s="427"/>
    </row>
    <row r="41" spans="1:14" s="43" customFormat="1" ht="21.9" customHeight="1" x14ac:dyDescent="0.35">
      <c r="A41" s="459" t="s">
        <v>92</v>
      </c>
      <c r="B41" s="460"/>
      <c r="C41" s="460"/>
      <c r="D41" s="460"/>
      <c r="E41" s="460"/>
      <c r="F41" s="460"/>
      <c r="G41" s="460"/>
      <c r="H41" s="460"/>
      <c r="I41" s="461"/>
      <c r="J41" s="137"/>
      <c r="M41" s="420"/>
      <c r="N41" s="427"/>
    </row>
    <row r="42" spans="1:14" s="43" customFormat="1" ht="37.5" customHeight="1" x14ac:dyDescent="0.35">
      <c r="A42" s="465" t="s">
        <v>93</v>
      </c>
      <c r="B42" s="465"/>
      <c r="C42" s="465"/>
      <c r="D42" s="477" t="s">
        <v>74</v>
      </c>
      <c r="E42" s="477"/>
      <c r="F42" s="477"/>
      <c r="G42" s="142" t="s">
        <v>68</v>
      </c>
      <c r="H42" s="142" t="s">
        <v>22</v>
      </c>
      <c r="I42" s="142" t="s">
        <v>23</v>
      </c>
      <c r="J42" s="137"/>
      <c r="M42" s="420"/>
      <c r="N42" s="427"/>
    </row>
    <row r="43" spans="1:14" s="43" customFormat="1" ht="18" x14ac:dyDescent="0.35">
      <c r="A43" s="444" t="s">
        <v>94</v>
      </c>
      <c r="B43" s="444"/>
      <c r="C43" s="444"/>
      <c r="D43" s="445"/>
      <c r="E43" s="445"/>
      <c r="F43" s="445"/>
      <c r="G43" s="36"/>
      <c r="H43" s="117"/>
      <c r="I43" s="146">
        <f>G43+H43</f>
        <v>0</v>
      </c>
      <c r="J43" s="137"/>
      <c r="M43" s="420"/>
      <c r="N43" s="427"/>
    </row>
    <row r="44" spans="1:14" s="43" customFormat="1" ht="18" x14ac:dyDescent="0.35">
      <c r="A44" s="444" t="s">
        <v>95</v>
      </c>
      <c r="B44" s="444"/>
      <c r="C44" s="444"/>
      <c r="D44" s="445"/>
      <c r="E44" s="445"/>
      <c r="F44" s="445"/>
      <c r="G44" s="36"/>
      <c r="H44" s="117"/>
      <c r="I44" s="146">
        <f>G44+H44</f>
        <v>0</v>
      </c>
      <c r="J44" s="137"/>
      <c r="M44" s="420"/>
      <c r="N44" s="427"/>
    </row>
    <row r="45" spans="1:14" s="43" customFormat="1" ht="18" x14ac:dyDescent="0.35">
      <c r="A45" s="444" t="s">
        <v>96</v>
      </c>
      <c r="B45" s="444"/>
      <c r="C45" s="444"/>
      <c r="D45" s="445"/>
      <c r="E45" s="445"/>
      <c r="F45" s="445"/>
      <c r="G45" s="36"/>
      <c r="H45" s="117"/>
      <c r="I45" s="146">
        <f>G45+H45</f>
        <v>0</v>
      </c>
      <c r="J45" s="137"/>
      <c r="M45" s="420"/>
      <c r="N45" s="427"/>
    </row>
    <row r="46" spans="1:14" s="43" customFormat="1" ht="18" x14ac:dyDescent="0.35">
      <c r="A46" s="444" t="s">
        <v>97</v>
      </c>
      <c r="B46" s="444"/>
      <c r="C46" s="444"/>
      <c r="D46" s="445"/>
      <c r="E46" s="445"/>
      <c r="F46" s="445"/>
      <c r="G46" s="36"/>
      <c r="H46" s="117"/>
      <c r="I46" s="146">
        <f>G46+H46</f>
        <v>0</v>
      </c>
      <c r="J46" s="137"/>
      <c r="M46" s="420"/>
      <c r="N46" s="427"/>
    </row>
    <row r="47" spans="1:14" s="43" customFormat="1" ht="18" x14ac:dyDescent="0.35">
      <c r="D47" s="446" t="s">
        <v>98</v>
      </c>
      <c r="E47" s="447"/>
      <c r="F47" s="447"/>
      <c r="G47" s="58">
        <f>SUM(G43:G46)</f>
        <v>0</v>
      </c>
      <c r="H47" s="58">
        <f>SUM(H43:H46)</f>
        <v>0</v>
      </c>
      <c r="I47" s="59">
        <f>SUM(I43:I46)</f>
        <v>0</v>
      </c>
      <c r="J47" s="137"/>
      <c r="M47" s="420"/>
      <c r="N47" s="427"/>
    </row>
    <row r="48" spans="1:14" s="43" customFormat="1" ht="10.5" customHeight="1" x14ac:dyDescent="0.35">
      <c r="A48" s="483"/>
      <c r="B48" s="484"/>
      <c r="C48" s="484"/>
      <c r="D48" s="469"/>
      <c r="E48" s="469"/>
      <c r="F48" s="469"/>
      <c r="G48" s="45"/>
      <c r="H48" s="45"/>
      <c r="I48" s="47"/>
      <c r="J48" s="137"/>
      <c r="M48" s="420"/>
      <c r="N48" s="427"/>
    </row>
    <row r="49" spans="1:14" s="43" customFormat="1" ht="18.75" customHeight="1" x14ac:dyDescent="0.35">
      <c r="A49" s="480" t="s">
        <v>99</v>
      </c>
      <c r="B49" s="481"/>
      <c r="C49" s="481"/>
      <c r="D49" s="481"/>
      <c r="E49" s="481"/>
      <c r="F49" s="481"/>
      <c r="G49" s="62"/>
      <c r="H49" s="63"/>
      <c r="I49" s="143"/>
      <c r="J49" s="137"/>
      <c r="M49" s="420"/>
      <c r="N49" s="427"/>
    </row>
    <row r="50" spans="1:14" s="43" customFormat="1" ht="15.6" x14ac:dyDescent="0.3">
      <c r="A50" s="444" t="s">
        <v>100</v>
      </c>
      <c r="B50" s="444"/>
      <c r="C50" s="444"/>
      <c r="G50" s="36"/>
      <c r="H50" s="37"/>
      <c r="I50" s="146">
        <f t="shared" ref="I50:I55" si="4">G50+H50</f>
        <v>0</v>
      </c>
      <c r="J50" s="137"/>
      <c r="M50" s="420"/>
      <c r="N50" s="427"/>
    </row>
    <row r="51" spans="1:14" s="43" customFormat="1" ht="18" x14ac:dyDescent="0.35">
      <c r="A51" s="444" t="s">
        <v>101</v>
      </c>
      <c r="B51" s="444"/>
      <c r="C51" s="444"/>
      <c r="D51" s="445"/>
      <c r="E51" s="445"/>
      <c r="F51" s="445"/>
      <c r="G51" s="36"/>
      <c r="H51" s="37"/>
      <c r="I51" s="146">
        <f t="shared" si="4"/>
        <v>0</v>
      </c>
      <c r="J51" s="137"/>
      <c r="M51" s="420"/>
      <c r="N51" s="427"/>
    </row>
    <row r="52" spans="1:14" s="43" customFormat="1" ht="18" x14ac:dyDescent="0.35">
      <c r="A52" s="444" t="s">
        <v>102</v>
      </c>
      <c r="B52" s="444"/>
      <c r="C52" s="444"/>
      <c r="D52" s="445"/>
      <c r="E52" s="445"/>
      <c r="F52" s="445"/>
      <c r="G52" s="36"/>
      <c r="H52" s="37"/>
      <c r="I52" s="146">
        <f t="shared" si="4"/>
        <v>0</v>
      </c>
      <c r="J52" s="137"/>
      <c r="M52" s="420"/>
      <c r="N52" s="427"/>
    </row>
    <row r="53" spans="1:14" s="43" customFormat="1" ht="18" x14ac:dyDescent="0.35">
      <c r="A53" s="444" t="s">
        <v>103</v>
      </c>
      <c r="B53" s="444"/>
      <c r="C53" s="444"/>
      <c r="D53" s="445"/>
      <c r="E53" s="445"/>
      <c r="F53" s="445"/>
      <c r="G53" s="36"/>
      <c r="H53" s="37"/>
      <c r="I53" s="146">
        <f t="shared" si="4"/>
        <v>0</v>
      </c>
      <c r="J53" s="137"/>
      <c r="M53" s="420"/>
      <c r="N53" s="427"/>
    </row>
    <row r="54" spans="1:14" s="43" customFormat="1" ht="18" x14ac:dyDescent="0.35">
      <c r="A54" s="444" t="s">
        <v>104</v>
      </c>
      <c r="B54" s="444"/>
      <c r="C54" s="444"/>
      <c r="D54" s="445"/>
      <c r="E54" s="445"/>
      <c r="F54" s="445"/>
      <c r="G54" s="36"/>
      <c r="H54" s="37"/>
      <c r="I54" s="146">
        <f t="shared" si="4"/>
        <v>0</v>
      </c>
      <c r="J54" s="137"/>
      <c r="M54" s="420"/>
      <c r="N54" s="427"/>
    </row>
    <row r="55" spans="1:14" s="43" customFormat="1" ht="18" x14ac:dyDescent="0.35">
      <c r="A55" s="444" t="s">
        <v>105</v>
      </c>
      <c r="B55" s="444"/>
      <c r="C55" s="444"/>
      <c r="D55" s="449" t="s">
        <v>106</v>
      </c>
      <c r="E55" s="449"/>
      <c r="F55" s="449"/>
      <c r="G55" s="117"/>
      <c r="H55" s="149">
        <f>Utilities!L23</f>
        <v>0</v>
      </c>
      <c r="I55" s="149">
        <f t="shared" si="4"/>
        <v>0</v>
      </c>
      <c r="J55" s="137"/>
      <c r="M55" s="420"/>
      <c r="N55" s="427"/>
    </row>
    <row r="56" spans="1:14" s="43" customFormat="1" ht="18" x14ac:dyDescent="0.35">
      <c r="D56" s="448" t="s">
        <v>107</v>
      </c>
      <c r="E56" s="448"/>
      <c r="F56" s="448"/>
      <c r="G56" s="58">
        <f>SUM(G50:G55)</f>
        <v>0</v>
      </c>
      <c r="H56" s="58">
        <f>SUM(H50:H55)</f>
        <v>0</v>
      </c>
      <c r="I56" s="59">
        <f>SUM(I50:I55)</f>
        <v>0</v>
      </c>
      <c r="J56" s="137"/>
      <c r="M56" s="420"/>
      <c r="N56" s="427"/>
    </row>
    <row r="57" spans="1:14" s="43" customFormat="1" ht="18" x14ac:dyDescent="0.35">
      <c r="A57" s="482"/>
      <c r="B57" s="482"/>
      <c r="C57" s="482"/>
      <c r="D57" s="478" t="s">
        <v>108</v>
      </c>
      <c r="E57" s="478"/>
      <c r="F57" s="478"/>
      <c r="G57" s="56">
        <f>G47+G56</f>
        <v>0</v>
      </c>
      <c r="H57" s="56">
        <f>H47+H56</f>
        <v>0</v>
      </c>
      <c r="I57" s="57">
        <f>I47+I56</f>
        <v>0</v>
      </c>
      <c r="J57" s="144"/>
      <c r="M57" s="420"/>
      <c r="N57" s="427"/>
    </row>
    <row r="58" spans="1:14" s="43" customFormat="1" ht="18" x14ac:dyDescent="0.35">
      <c r="A58" s="44"/>
      <c r="B58" s="44"/>
      <c r="C58" s="44"/>
      <c r="D58" s="116"/>
      <c r="E58" s="116"/>
      <c r="F58" s="116"/>
      <c r="G58" s="44"/>
      <c r="H58" s="48"/>
      <c r="I58" s="48"/>
      <c r="J58" s="49"/>
      <c r="M58" s="420"/>
      <c r="N58" s="427"/>
    </row>
    <row r="59" spans="1:14" s="43" customFormat="1" ht="21" x14ac:dyDescent="0.4">
      <c r="A59" s="482"/>
      <c r="B59" s="482"/>
      <c r="C59" s="482"/>
      <c r="D59" s="485" t="s">
        <v>32</v>
      </c>
      <c r="E59" s="486"/>
      <c r="F59" s="486"/>
      <c r="G59" s="486"/>
      <c r="H59" s="487"/>
      <c r="I59" s="309">
        <f>K16+I20+I35+I39+I57</f>
        <v>1414449.4839999999</v>
      </c>
      <c r="J59" s="49"/>
      <c r="M59" s="420"/>
      <c r="N59" s="427"/>
    </row>
    <row r="60" spans="1:14" s="43" customFormat="1" ht="18" x14ac:dyDescent="0.35">
      <c r="A60" s="44"/>
      <c r="B60" s="44"/>
      <c r="C60" s="44"/>
      <c r="D60" s="116"/>
      <c r="E60" s="116"/>
      <c r="F60" s="116"/>
      <c r="G60" s="44"/>
      <c r="H60" s="48"/>
      <c r="I60" s="48"/>
      <c r="J60" s="49"/>
      <c r="M60" s="420"/>
      <c r="N60" s="427"/>
    </row>
    <row r="61" spans="1:14" s="43" customFormat="1" ht="18" x14ac:dyDescent="0.35">
      <c r="A61" s="44"/>
      <c r="B61" s="44"/>
      <c r="C61" s="44"/>
      <c r="D61" s="116"/>
      <c r="E61" s="116"/>
      <c r="F61" s="116"/>
      <c r="G61" s="44"/>
      <c r="H61" s="48"/>
      <c r="I61" s="48"/>
      <c r="J61" s="49"/>
      <c r="M61" s="420"/>
      <c r="N61" s="427"/>
    </row>
    <row r="62" spans="1:14" s="43" customFormat="1" ht="18" x14ac:dyDescent="0.35">
      <c r="A62" s="44"/>
      <c r="B62" s="44"/>
      <c r="C62" s="44"/>
      <c r="D62" s="116"/>
      <c r="E62" s="116"/>
      <c r="F62" s="116"/>
      <c r="G62" s="50"/>
      <c r="H62" s="51"/>
      <c r="I62" s="51"/>
      <c r="J62" s="51"/>
      <c r="M62" s="420"/>
      <c r="N62" s="427"/>
    </row>
    <row r="63" spans="1:14" ht="18" x14ac:dyDescent="0.35">
      <c r="D63" s="116"/>
      <c r="E63" s="116"/>
      <c r="F63" s="116"/>
    </row>
    <row r="64" spans="1:14" ht="18" x14ac:dyDescent="0.35">
      <c r="D64" s="116"/>
      <c r="E64" s="116"/>
      <c r="F64" s="116"/>
    </row>
    <row r="65" spans="4:6" ht="18" x14ac:dyDescent="0.35">
      <c r="D65" s="116"/>
      <c r="E65" s="116"/>
      <c r="F65" s="116"/>
    </row>
    <row r="66" spans="4:6" ht="18" x14ac:dyDescent="0.35">
      <c r="D66" s="116"/>
      <c r="E66" s="116"/>
      <c r="F66" s="116"/>
    </row>
    <row r="67" spans="4:6" ht="18" x14ac:dyDescent="0.35">
      <c r="D67" s="116"/>
      <c r="E67" s="116"/>
      <c r="F67" s="116"/>
    </row>
    <row r="68" spans="4:6" ht="18" x14ac:dyDescent="0.35">
      <c r="D68" s="116"/>
      <c r="E68" s="116"/>
      <c r="F68" s="116"/>
    </row>
    <row r="69" spans="4:6" ht="18" x14ac:dyDescent="0.35">
      <c r="D69" s="116"/>
      <c r="E69" s="116"/>
      <c r="F69" s="116"/>
    </row>
    <row r="70" spans="4:6" ht="18" x14ac:dyDescent="0.35">
      <c r="D70" s="116"/>
      <c r="E70" s="116"/>
      <c r="F70" s="116"/>
    </row>
    <row r="71" spans="4:6" ht="18" x14ac:dyDescent="0.35">
      <c r="D71" s="116"/>
      <c r="E71" s="116"/>
      <c r="F71" s="116"/>
    </row>
    <row r="72" spans="4:6" ht="18" x14ac:dyDescent="0.35">
      <c r="D72" s="116"/>
      <c r="E72" s="116"/>
      <c r="F72" s="116"/>
    </row>
    <row r="73" spans="4:6" ht="18" x14ac:dyDescent="0.35">
      <c r="D73" s="116"/>
      <c r="E73" s="116"/>
      <c r="F73" s="116"/>
    </row>
    <row r="74" spans="4:6" ht="18" x14ac:dyDescent="0.35">
      <c r="D74" s="116"/>
      <c r="E74" s="116"/>
      <c r="F74" s="116"/>
    </row>
    <row r="75" spans="4:6" ht="18" x14ac:dyDescent="0.35">
      <c r="D75" s="116"/>
      <c r="E75" s="116"/>
      <c r="F75" s="116"/>
    </row>
    <row r="76" spans="4:6" ht="18" x14ac:dyDescent="0.35">
      <c r="D76" s="476"/>
      <c r="E76" s="476"/>
      <c r="F76" s="249"/>
    </row>
    <row r="77" spans="4:6" ht="18" x14ac:dyDescent="0.35">
      <c r="D77" s="476"/>
      <c r="E77" s="476"/>
      <c r="F77" s="249"/>
    </row>
    <row r="78" spans="4:6" ht="18" x14ac:dyDescent="0.35">
      <c r="D78" s="476"/>
      <c r="E78" s="476"/>
      <c r="F78" s="249"/>
    </row>
    <row r="79" spans="4:6" ht="18" x14ac:dyDescent="0.35">
      <c r="D79" s="476"/>
      <c r="E79" s="476"/>
      <c r="F79" s="249"/>
    </row>
    <row r="80" spans="4:6" ht="18" x14ac:dyDescent="0.35">
      <c r="D80" s="476"/>
      <c r="E80" s="476"/>
      <c r="F80" s="249"/>
    </row>
    <row r="81" spans="4:6" ht="18" x14ac:dyDescent="0.35">
      <c r="D81" s="476"/>
      <c r="E81" s="476"/>
      <c r="F81" s="249"/>
    </row>
    <row r="82" spans="4:6" ht="18" x14ac:dyDescent="0.35">
      <c r="D82" s="476"/>
      <c r="E82" s="476"/>
      <c r="F82" s="249"/>
    </row>
    <row r="83" spans="4:6" ht="18" x14ac:dyDescent="0.35">
      <c r="D83" s="476"/>
      <c r="E83" s="476"/>
      <c r="F83" s="249"/>
    </row>
    <row r="84" spans="4:6" ht="18" x14ac:dyDescent="0.35">
      <c r="D84" s="476"/>
      <c r="E84" s="476"/>
      <c r="F84" s="249"/>
    </row>
    <row r="85" spans="4:6" ht="18" x14ac:dyDescent="0.35">
      <c r="D85" s="476"/>
      <c r="E85" s="476"/>
      <c r="F85" s="249"/>
    </row>
    <row r="86" spans="4:6" ht="18" x14ac:dyDescent="0.35">
      <c r="D86" s="476"/>
      <c r="E86" s="476"/>
      <c r="F86" s="249"/>
    </row>
    <row r="87" spans="4:6" ht="18" x14ac:dyDescent="0.35">
      <c r="D87" s="476"/>
      <c r="E87" s="476"/>
      <c r="F87" s="249"/>
    </row>
    <row r="88" spans="4:6" ht="18" x14ac:dyDescent="0.35">
      <c r="D88" s="476"/>
      <c r="E88" s="476"/>
      <c r="F88" s="249"/>
    </row>
    <row r="89" spans="4:6" ht="18" x14ac:dyDescent="0.35">
      <c r="D89" s="476"/>
      <c r="E89" s="476"/>
      <c r="F89" s="249"/>
    </row>
    <row r="90" spans="4:6" ht="18" x14ac:dyDescent="0.35">
      <c r="D90" s="476"/>
      <c r="E90" s="476"/>
      <c r="F90" s="249"/>
    </row>
    <row r="91" spans="4:6" ht="18" x14ac:dyDescent="0.35">
      <c r="D91" s="476"/>
      <c r="E91" s="476"/>
      <c r="F91" s="249"/>
    </row>
    <row r="92" spans="4:6" ht="18" x14ac:dyDescent="0.35">
      <c r="D92" s="476"/>
      <c r="E92" s="476"/>
      <c r="F92" s="249"/>
    </row>
    <row r="93" spans="4:6" ht="18" x14ac:dyDescent="0.35">
      <c r="D93" s="476"/>
      <c r="E93" s="476"/>
      <c r="F93" s="249"/>
    </row>
    <row r="94" spans="4:6" ht="18" x14ac:dyDescent="0.35">
      <c r="D94" s="476"/>
      <c r="E94" s="476"/>
      <c r="F94" s="249"/>
    </row>
    <row r="95" spans="4:6" ht="18" x14ac:dyDescent="0.35">
      <c r="D95" s="476"/>
      <c r="E95" s="476"/>
      <c r="F95" s="249"/>
    </row>
    <row r="96" spans="4:6" ht="18" x14ac:dyDescent="0.35">
      <c r="D96" s="476"/>
      <c r="E96" s="476"/>
      <c r="F96" s="249"/>
    </row>
    <row r="97" spans="4:6" ht="18" x14ac:dyDescent="0.35">
      <c r="D97" s="476"/>
      <c r="E97" s="476"/>
      <c r="F97" s="249"/>
    </row>
    <row r="98" spans="4:6" ht="18" x14ac:dyDescent="0.35">
      <c r="D98" s="476"/>
      <c r="E98" s="476"/>
      <c r="F98" s="249"/>
    </row>
    <row r="99" spans="4:6" ht="18" x14ac:dyDescent="0.35">
      <c r="D99" s="476"/>
      <c r="E99" s="476"/>
      <c r="F99" s="249"/>
    </row>
    <row r="100" spans="4:6" ht="18" x14ac:dyDescent="0.35">
      <c r="D100" s="476"/>
      <c r="E100" s="476"/>
      <c r="F100" s="249"/>
    </row>
    <row r="101" spans="4:6" ht="18" x14ac:dyDescent="0.35">
      <c r="D101" s="476"/>
      <c r="E101" s="476"/>
      <c r="F101" s="249"/>
    </row>
    <row r="102" spans="4:6" ht="18" x14ac:dyDescent="0.35">
      <c r="D102" s="476"/>
      <c r="E102" s="476"/>
      <c r="F102" s="249"/>
    </row>
    <row r="103" spans="4:6" ht="18" x14ac:dyDescent="0.35">
      <c r="D103" s="476"/>
      <c r="E103" s="476"/>
      <c r="F103" s="249"/>
    </row>
    <row r="104" spans="4:6" ht="18" x14ac:dyDescent="0.35">
      <c r="D104" s="476"/>
      <c r="E104" s="476"/>
      <c r="F104" s="249"/>
    </row>
    <row r="105" spans="4:6" ht="18" x14ac:dyDescent="0.35">
      <c r="D105" s="476"/>
      <c r="E105" s="476"/>
      <c r="F105" s="249"/>
    </row>
    <row r="106" spans="4:6" ht="18" x14ac:dyDescent="0.35">
      <c r="D106" s="476"/>
      <c r="E106" s="476"/>
      <c r="F106" s="249"/>
    </row>
    <row r="107" spans="4:6" ht="18" x14ac:dyDescent="0.35">
      <c r="D107" s="476"/>
      <c r="E107" s="476"/>
      <c r="F107" s="249"/>
    </row>
    <row r="108" spans="4:6" ht="18" x14ac:dyDescent="0.35">
      <c r="D108" s="476"/>
      <c r="E108" s="476"/>
      <c r="F108" s="249"/>
    </row>
    <row r="109" spans="4:6" ht="18" x14ac:dyDescent="0.35">
      <c r="D109" s="476"/>
      <c r="E109" s="476"/>
      <c r="F109" s="249"/>
    </row>
    <row r="110" spans="4:6" ht="18" x14ac:dyDescent="0.35">
      <c r="D110" s="476"/>
      <c r="E110" s="476"/>
      <c r="F110" s="249"/>
    </row>
    <row r="111" spans="4:6" ht="18" x14ac:dyDescent="0.35">
      <c r="D111" s="476"/>
      <c r="E111" s="476"/>
      <c r="F111" s="249"/>
    </row>
    <row r="112" spans="4:6" ht="18" x14ac:dyDescent="0.35">
      <c r="D112" s="476"/>
      <c r="E112" s="476"/>
      <c r="F112" s="249"/>
    </row>
    <row r="113" spans="4:6" ht="18" x14ac:dyDescent="0.35">
      <c r="D113" s="476"/>
      <c r="E113" s="476"/>
      <c r="F113" s="249"/>
    </row>
    <row r="114" spans="4:6" ht="18" x14ac:dyDescent="0.35">
      <c r="D114" s="476"/>
      <c r="E114" s="476"/>
      <c r="F114" s="249"/>
    </row>
    <row r="115" spans="4:6" ht="18" x14ac:dyDescent="0.35">
      <c r="D115" s="476"/>
      <c r="E115" s="476"/>
      <c r="F115" s="249"/>
    </row>
    <row r="116" spans="4:6" ht="18" x14ac:dyDescent="0.35">
      <c r="D116" s="476"/>
      <c r="E116" s="476"/>
      <c r="F116" s="249"/>
    </row>
    <row r="117" spans="4:6" ht="18" x14ac:dyDescent="0.35">
      <c r="D117" s="476"/>
      <c r="E117" s="476"/>
      <c r="F117" s="249"/>
    </row>
    <row r="118" spans="4:6" ht="18" x14ac:dyDescent="0.35">
      <c r="D118" s="476"/>
      <c r="E118" s="476"/>
      <c r="F118" s="249"/>
    </row>
    <row r="119" spans="4:6" ht="18" x14ac:dyDescent="0.35">
      <c r="D119" s="476"/>
      <c r="E119" s="476"/>
      <c r="F119" s="249"/>
    </row>
    <row r="120" spans="4:6" ht="18" x14ac:dyDescent="0.35">
      <c r="D120" s="476"/>
      <c r="E120" s="476"/>
      <c r="F120" s="249"/>
    </row>
    <row r="121" spans="4:6" ht="18" x14ac:dyDescent="0.35">
      <c r="D121" s="476"/>
      <c r="E121" s="476"/>
      <c r="F121" s="249"/>
    </row>
    <row r="122" spans="4:6" ht="18" x14ac:dyDescent="0.35">
      <c r="D122" s="476"/>
      <c r="E122" s="476"/>
      <c r="F122" s="249"/>
    </row>
    <row r="123" spans="4:6" ht="18" x14ac:dyDescent="0.35">
      <c r="D123" s="476"/>
      <c r="E123" s="476"/>
      <c r="F123" s="249"/>
    </row>
  </sheetData>
  <sheetProtection algorithmName="SHA-512" hashValue="xPegT+6rqT9A6NPkRJdzNDdg0rWgbQ+qrYobTMupQRMpTvCZSIXJndAcKyhID/CekRTaJusXypzPNVJYfEEJbA==" saltValue="BAnVPZvCoKkRy62weL5SAw==" spinCount="100000" sheet="1" objects="1" scenarios="1"/>
  <mergeCells count="117">
    <mergeCell ref="D85:E85"/>
    <mergeCell ref="A49:F49"/>
    <mergeCell ref="A57:C57"/>
    <mergeCell ref="A52:C52"/>
    <mergeCell ref="A53:C53"/>
    <mergeCell ref="A48:C48"/>
    <mergeCell ref="D51:F51"/>
    <mergeCell ref="A51:C51"/>
    <mergeCell ref="A50:C50"/>
    <mergeCell ref="D84:E84"/>
    <mergeCell ref="A59:C59"/>
    <mergeCell ref="D59:H59"/>
    <mergeCell ref="D99:E99"/>
    <mergeCell ref="D97:E97"/>
    <mergeCell ref="D98:E98"/>
    <mergeCell ref="D57:F57"/>
    <mergeCell ref="D14:E14"/>
    <mergeCell ref="D48:F48"/>
    <mergeCell ref="D79:E79"/>
    <mergeCell ref="D80:E80"/>
    <mergeCell ref="D81:E81"/>
    <mergeCell ref="D46:F46"/>
    <mergeCell ref="D54:F54"/>
    <mergeCell ref="D76:E76"/>
    <mergeCell ref="D77:E77"/>
    <mergeCell ref="D78:E78"/>
    <mergeCell ref="D88:E88"/>
    <mergeCell ref="D89:E89"/>
    <mergeCell ref="D90:E90"/>
    <mergeCell ref="D91:E91"/>
    <mergeCell ref="D92:E92"/>
    <mergeCell ref="D93:E93"/>
    <mergeCell ref="D82:E82"/>
    <mergeCell ref="D83:E83"/>
    <mergeCell ref="D86:E86"/>
    <mergeCell ref="D87:E87"/>
    <mergeCell ref="D123:E123"/>
    <mergeCell ref="D112:E112"/>
    <mergeCell ref="D113:E113"/>
    <mergeCell ref="D114:E114"/>
    <mergeCell ref="D115:E115"/>
    <mergeCell ref="D116:E116"/>
    <mergeCell ref="D117:E117"/>
    <mergeCell ref="D118:E118"/>
    <mergeCell ref="D119:E119"/>
    <mergeCell ref="D120:E120"/>
    <mergeCell ref="D121:E121"/>
    <mergeCell ref="D122:E122"/>
    <mergeCell ref="D106:E106"/>
    <mergeCell ref="D107:E107"/>
    <mergeCell ref="D108:E108"/>
    <mergeCell ref="D109:E109"/>
    <mergeCell ref="D110:E110"/>
    <mergeCell ref="D111:E111"/>
    <mergeCell ref="D100:E100"/>
    <mergeCell ref="D25:F25"/>
    <mergeCell ref="D29:F29"/>
    <mergeCell ref="D28:F28"/>
    <mergeCell ref="D30:F30"/>
    <mergeCell ref="D31:F31"/>
    <mergeCell ref="D32:F32"/>
    <mergeCell ref="D27:F27"/>
    <mergeCell ref="D26:F26"/>
    <mergeCell ref="D42:F42"/>
    <mergeCell ref="D101:E101"/>
    <mergeCell ref="D102:E102"/>
    <mergeCell ref="D103:E103"/>
    <mergeCell ref="D104:E104"/>
    <mergeCell ref="D105:E105"/>
    <mergeCell ref="D94:E94"/>
    <mergeCell ref="D95:E95"/>
    <mergeCell ref="D96:E96"/>
    <mergeCell ref="A1:J1"/>
    <mergeCell ref="A41:I41"/>
    <mergeCell ref="A7:C7"/>
    <mergeCell ref="D4:F4"/>
    <mergeCell ref="D5:F5"/>
    <mergeCell ref="D47:F47"/>
    <mergeCell ref="D39:F39"/>
    <mergeCell ref="D8:F8"/>
    <mergeCell ref="D9:F9"/>
    <mergeCell ref="D10:F10"/>
    <mergeCell ref="A42:C42"/>
    <mergeCell ref="A46:C46"/>
    <mergeCell ref="A40:C40"/>
    <mergeCell ref="D38:F38"/>
    <mergeCell ref="D40:F40"/>
    <mergeCell ref="A16:C16"/>
    <mergeCell ref="D33:F33"/>
    <mergeCell ref="D34:F34"/>
    <mergeCell ref="D37:F37"/>
    <mergeCell ref="D44:F44"/>
    <mergeCell ref="D45:F45"/>
    <mergeCell ref="A45:C45"/>
    <mergeCell ref="D3:F3"/>
    <mergeCell ref="C19:F19"/>
    <mergeCell ref="A4:C4"/>
    <mergeCell ref="A3:C3"/>
    <mergeCell ref="D23:F23"/>
    <mergeCell ref="D16:F16"/>
    <mergeCell ref="D24:F24"/>
    <mergeCell ref="D7:F7"/>
    <mergeCell ref="A5:C5"/>
    <mergeCell ref="A6:C6"/>
    <mergeCell ref="D15:E15"/>
    <mergeCell ref="D20:F20"/>
    <mergeCell ref="D6:F6"/>
    <mergeCell ref="A44:C44"/>
    <mergeCell ref="D53:F53"/>
    <mergeCell ref="D35:F35"/>
    <mergeCell ref="A55:C55"/>
    <mergeCell ref="D56:F56"/>
    <mergeCell ref="D55:F55"/>
    <mergeCell ref="D43:F43"/>
    <mergeCell ref="A43:C43"/>
    <mergeCell ref="A54:C54"/>
    <mergeCell ref="D52:F52"/>
  </mergeCells>
  <phoneticPr fontId="3" type="noConversion"/>
  <conditionalFormatting sqref="G19">
    <cfRule type="cellIs" dxfId="5" priority="6" stopIfTrue="1" operator="equal">
      <formula>"high"</formula>
    </cfRule>
    <cfRule type="cellIs" dxfId="4" priority="7" stopIfTrue="1" operator="equal">
      <formula>"low"</formula>
    </cfRule>
  </conditionalFormatting>
  <conditionalFormatting sqref="G24 G26:G27 J58:J61 H62:I62">
    <cfRule type="cellIs" dxfId="3" priority="12" stopIfTrue="1" operator="equal">
      <formula>"high"</formula>
    </cfRule>
    <cfRule type="cellIs" dxfId="2" priority="13" stopIfTrue="1" operator="equal">
      <formula>"low"</formula>
    </cfRule>
  </conditionalFormatting>
  <conditionalFormatting sqref="H14:J14">
    <cfRule type="cellIs" dxfId="1" priority="5" operator="equal">
      <formula>" - "</formula>
    </cfRule>
  </conditionalFormatting>
  <conditionalFormatting sqref="H14:J15 G15">
    <cfRule type="cellIs" dxfId="0" priority="1" operator="equal">
      <formula>0</formula>
    </cfRule>
  </conditionalFormatting>
  <dataValidations xWindow="627" yWindow="423" count="9">
    <dataValidation allowBlank="1" showInputMessage="1" showErrorMessage="1" sqref="C12 C14:C15 C9:C10" xr:uid="{00000000-0002-0000-0200-000000000000}"/>
    <dataValidation allowBlank="1" showErrorMessage="1" sqref="C13 C8" xr:uid="{00000000-0002-0000-0200-000001000000}"/>
    <dataValidation type="list" showInputMessage="1" showErrorMessage="1" prompt="Select from dropdown." sqref="F12" xr:uid="{00000000-0002-0000-0200-000002000000}">
      <formula1>"  ,Yes, No"</formula1>
    </dataValidation>
    <dataValidation type="list" showInputMessage="1" showErrorMessage="1" sqref="F13" xr:uid="{00000000-0002-0000-0200-000003000000}">
      <formula1>"Yes, No"</formula1>
    </dataValidation>
    <dataValidation type="list" allowBlank="1" showInputMessage="1" showErrorMessage="1" sqref="F15" xr:uid="{00000000-0002-0000-0200-000004000000}">
      <formula1>"Yes, No"</formula1>
    </dataValidation>
    <dataValidation type="list" allowBlank="1" showInputMessage="1" showErrorMessage="1" promptTitle="Select from dropdown" sqref="B15" xr:uid="{00000000-0002-0000-0200-000005000000}">
      <formula1>"Enter Annual Hrs, Enter FTE Load"</formula1>
    </dataValidation>
    <dataValidation type="list" allowBlank="1" showInputMessage="1" showErrorMessage="1" sqref="B14" xr:uid="{00000000-0002-0000-0200-000006000000}">
      <formula1>"Enter Annual Hrs, Enter FTE Load"</formula1>
    </dataValidation>
    <dataValidation type="list" allowBlank="1" showInputMessage="1" showErrorMessage="1" sqref="F14" xr:uid="{00000000-0002-0000-0200-000007000000}">
      <formula1>" ,Yes, No"</formula1>
    </dataValidation>
    <dataValidation type="list" allowBlank="1" showInputMessage="1" showErrorMessage="1" prompt="Select from dropdown." sqref="D13" xr:uid="{00000000-0002-0000-0200-000008000000}">
      <formula1>StudentTitles</formula1>
    </dataValidation>
  </dataValidations>
  <pageMargins left="0.25" right="0.25" top="0.5" bottom="0.5" header="0.5" footer="0.5"/>
  <pageSetup scale="80" orientation="landscape" r:id="rId1"/>
  <headerFooter alignWithMargins="0"/>
  <legacyDrawing r:id="rId2"/>
  <extLst>
    <ext xmlns:x14="http://schemas.microsoft.com/office/spreadsheetml/2009/9/main" uri="{CCE6A557-97BC-4b89-ADB6-D9C93CAAB3DF}">
      <x14:dataValidations xmlns:xm="http://schemas.microsoft.com/office/excel/2006/main" xWindow="627" yWindow="423" count="4">
        <x14:dataValidation type="list" allowBlank="1" showInputMessage="1" showErrorMessage="1" prompt="Select from dropdown." xr:uid="{00000000-0002-0000-0200-000009000000}">
          <x14:formula1>
            <xm:f>'Short Term NonClassified Titles'!$A$1:$A$118</xm:f>
          </x14:formula1>
          <xm:sqref>D12</xm:sqref>
        </x14:dataValidation>
        <x14:dataValidation type="list" allowBlank="1" showInputMessage="1" showErrorMessage="1" prompt="Select from dropdown." xr:uid="{00000000-0002-0000-0200-00000A000000}">
          <x14:formula1>
            <xm:f>'Administrator Job Titles'!$A$2:$A$162</xm:f>
          </x14:formula1>
          <xm:sqref>D5:F5</xm:sqref>
        </x14:dataValidation>
        <x14:dataValidation type="list" allowBlank="1" showInputMessage="1" showErrorMessage="1" prompt="Select from dropdown." xr:uid="{00000000-0002-0000-0200-00000C000000}">
          <x14:formula1>
            <xm:f>'Administrator Job Titles '!$A$2:$A$186</xm:f>
          </x14:formula1>
          <xm:sqref>D4:F4</xm:sqref>
        </x14:dataValidation>
        <x14:dataValidation type="list" allowBlank="1" showInputMessage="1" showErrorMessage="1" prompt="Select from dropdown." xr:uid="{00000000-0002-0000-0200-00000B000000}">
          <x14:formula1>
            <xm:f>'Classified Job Titles'!$A$2:$A$181</xm:f>
          </x14:formula1>
          <xm:sqref>D6:F8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B050"/>
    <pageSetUpPr fitToPage="1"/>
  </sheetPr>
  <dimension ref="A1:L181"/>
  <sheetViews>
    <sheetView workbookViewId="0"/>
  </sheetViews>
  <sheetFormatPr defaultRowHeight="13.2" x14ac:dyDescent="0.25"/>
  <cols>
    <col min="1" max="1" width="63.6640625" bestFit="1" customWidth="1"/>
    <col min="3" max="3" width="10.33203125" bestFit="1" customWidth="1"/>
    <col min="4" max="4" width="12.88671875" bestFit="1" customWidth="1"/>
    <col min="6" max="6" width="14.33203125" bestFit="1" customWidth="1"/>
    <col min="7" max="7" width="12.88671875" bestFit="1" customWidth="1"/>
  </cols>
  <sheetData>
    <row r="1" spans="1:12" ht="26.4" x14ac:dyDescent="0.25">
      <c r="A1" s="66" t="s">
        <v>109</v>
      </c>
      <c r="B1" s="67" t="s">
        <v>110</v>
      </c>
      <c r="C1" s="68" t="s">
        <v>111</v>
      </c>
      <c r="D1" s="68" t="s">
        <v>112</v>
      </c>
      <c r="E1" s="68" t="s">
        <v>113</v>
      </c>
      <c r="F1" s="68" t="s">
        <v>114</v>
      </c>
      <c r="G1" s="68" t="s">
        <v>115</v>
      </c>
      <c r="I1" s="78" t="s">
        <v>116</v>
      </c>
    </row>
    <row r="2" spans="1:12" x14ac:dyDescent="0.25">
      <c r="A2" s="75" t="s">
        <v>117</v>
      </c>
      <c r="B2" s="253" t="s">
        <v>118</v>
      </c>
      <c r="C2" s="254">
        <v>132718</v>
      </c>
      <c r="D2" s="254">
        <v>139410</v>
      </c>
      <c r="E2" s="254">
        <v>146438</v>
      </c>
      <c r="F2" s="254">
        <v>153821</v>
      </c>
      <c r="G2" s="254">
        <v>161580</v>
      </c>
    </row>
    <row r="3" spans="1:12" ht="15" customHeight="1" x14ac:dyDescent="0.25">
      <c r="A3" s="75" t="s">
        <v>119</v>
      </c>
      <c r="B3" s="253" t="s">
        <v>120</v>
      </c>
      <c r="C3" s="254">
        <v>116211</v>
      </c>
      <c r="D3" s="254">
        <v>122068</v>
      </c>
      <c r="E3" s="254">
        <v>128223</v>
      </c>
      <c r="F3" s="254">
        <v>134685</v>
      </c>
      <c r="G3" s="254">
        <v>141483</v>
      </c>
    </row>
    <row r="4" spans="1:12" ht="15" customHeight="1" x14ac:dyDescent="0.5">
      <c r="A4" s="75" t="s">
        <v>121</v>
      </c>
      <c r="B4" s="253" t="s">
        <v>122</v>
      </c>
      <c r="C4" s="254">
        <v>82117</v>
      </c>
      <c r="D4" s="254">
        <v>86255</v>
      </c>
      <c r="E4" s="254">
        <v>90604</v>
      </c>
      <c r="F4" s="254">
        <v>95177</v>
      </c>
      <c r="G4" s="254">
        <v>99971</v>
      </c>
      <c r="I4" s="77"/>
      <c r="J4" s="77"/>
      <c r="K4" s="77"/>
      <c r="L4" s="77"/>
    </row>
    <row r="5" spans="1:12" ht="15" customHeight="1" x14ac:dyDescent="0.5">
      <c r="A5" s="75" t="s">
        <v>123</v>
      </c>
      <c r="B5" s="253" t="s">
        <v>124</v>
      </c>
      <c r="C5" s="254">
        <v>121152</v>
      </c>
      <c r="D5" s="254">
        <v>127257</v>
      </c>
      <c r="E5" s="254">
        <v>133672</v>
      </c>
      <c r="F5" s="254">
        <v>140411</v>
      </c>
      <c r="G5" s="254">
        <v>147491</v>
      </c>
      <c r="I5" s="77"/>
      <c r="J5" s="77"/>
      <c r="K5" s="77"/>
      <c r="L5" s="77"/>
    </row>
    <row r="6" spans="1:12" ht="15" customHeight="1" x14ac:dyDescent="0.25">
      <c r="A6" s="75" t="s">
        <v>125</v>
      </c>
      <c r="B6" s="253" t="s">
        <v>126</v>
      </c>
      <c r="C6" s="254">
        <v>103727</v>
      </c>
      <c r="D6" s="254">
        <v>108961</v>
      </c>
      <c r="E6" s="254">
        <v>114454</v>
      </c>
      <c r="F6" s="254">
        <v>120224</v>
      </c>
      <c r="G6" s="254">
        <v>126287</v>
      </c>
      <c r="I6" s="19"/>
    </row>
    <row r="7" spans="1:12" ht="15" customHeight="1" x14ac:dyDescent="0.25">
      <c r="A7" s="75" t="s">
        <v>127</v>
      </c>
      <c r="B7" s="253" t="s">
        <v>128</v>
      </c>
      <c r="C7" s="254">
        <v>107497</v>
      </c>
      <c r="D7" s="254">
        <v>112919</v>
      </c>
      <c r="E7" s="254">
        <v>118616</v>
      </c>
      <c r="F7" s="254">
        <v>124593</v>
      </c>
      <c r="G7" s="254">
        <v>130878</v>
      </c>
      <c r="I7" s="19"/>
    </row>
    <row r="8" spans="1:12" ht="15" customHeight="1" x14ac:dyDescent="0.25">
      <c r="A8" s="75" t="s">
        <v>129</v>
      </c>
      <c r="B8" s="253" t="s">
        <v>130</v>
      </c>
      <c r="C8" s="254">
        <v>155148</v>
      </c>
      <c r="D8" s="254">
        <v>162973</v>
      </c>
      <c r="E8" s="254">
        <v>171186</v>
      </c>
      <c r="F8" s="254">
        <v>179819</v>
      </c>
      <c r="G8" s="254">
        <v>188891</v>
      </c>
      <c r="I8" s="19"/>
    </row>
    <row r="9" spans="1:12" ht="15" customHeight="1" x14ac:dyDescent="0.25">
      <c r="A9" s="75" t="s">
        <v>131</v>
      </c>
      <c r="B9" s="253" t="s">
        <v>124</v>
      </c>
      <c r="C9" s="254">
        <v>121152</v>
      </c>
      <c r="D9" s="254">
        <v>127257</v>
      </c>
      <c r="E9" s="254">
        <v>133672</v>
      </c>
      <c r="F9" s="254">
        <v>140411</v>
      </c>
      <c r="G9" s="254">
        <v>147491</v>
      </c>
      <c r="I9" s="19"/>
    </row>
    <row r="10" spans="1:12" ht="15" customHeight="1" x14ac:dyDescent="0.25">
      <c r="A10" s="75" t="s">
        <v>132</v>
      </c>
      <c r="B10" s="253" t="s">
        <v>124</v>
      </c>
      <c r="C10" s="254">
        <v>121152</v>
      </c>
      <c r="D10" s="254">
        <v>127257</v>
      </c>
      <c r="E10" s="254">
        <v>133672</v>
      </c>
      <c r="F10" s="254">
        <v>140411</v>
      </c>
      <c r="G10" s="254">
        <v>147491</v>
      </c>
      <c r="I10" s="19"/>
    </row>
    <row r="11" spans="1:12" ht="15" customHeight="1" x14ac:dyDescent="0.25">
      <c r="A11" s="75" t="s">
        <v>133</v>
      </c>
      <c r="B11" s="253" t="s">
        <v>126</v>
      </c>
      <c r="C11" s="254">
        <v>103727</v>
      </c>
      <c r="D11" s="254">
        <v>108961</v>
      </c>
      <c r="E11" s="254">
        <v>114454</v>
      </c>
      <c r="F11" s="254">
        <v>120224</v>
      </c>
      <c r="G11" s="254">
        <v>126287</v>
      </c>
      <c r="I11" s="19"/>
    </row>
    <row r="12" spans="1:12" ht="15" customHeight="1" x14ac:dyDescent="0.25">
      <c r="A12" s="75" t="s">
        <v>134</v>
      </c>
      <c r="B12" s="253" t="s">
        <v>135</v>
      </c>
      <c r="C12" s="254">
        <v>126741</v>
      </c>
      <c r="D12" s="254">
        <v>133128</v>
      </c>
      <c r="E12" s="254">
        <v>139841</v>
      </c>
      <c r="F12" s="254">
        <v>146897</v>
      </c>
      <c r="G12" s="254">
        <v>154301</v>
      </c>
      <c r="I12" s="19"/>
    </row>
    <row r="13" spans="1:12" ht="15" customHeight="1" x14ac:dyDescent="0.25">
      <c r="A13" s="75" t="s">
        <v>136</v>
      </c>
      <c r="B13" s="253" t="s">
        <v>137</v>
      </c>
      <c r="C13" s="254">
        <v>111661</v>
      </c>
      <c r="D13" s="254">
        <v>117290</v>
      </c>
      <c r="E13" s="254">
        <v>123205</v>
      </c>
      <c r="F13" s="254">
        <v>129416</v>
      </c>
      <c r="G13" s="254">
        <v>135942</v>
      </c>
      <c r="I13" s="19"/>
    </row>
    <row r="14" spans="1:12" ht="15" customHeight="1" x14ac:dyDescent="0.25">
      <c r="A14" s="75" t="s">
        <v>138</v>
      </c>
      <c r="B14" s="253" t="s">
        <v>126</v>
      </c>
      <c r="C14" s="254">
        <v>103727</v>
      </c>
      <c r="D14" s="254">
        <v>108961</v>
      </c>
      <c r="E14" s="254">
        <v>114454</v>
      </c>
      <c r="F14" s="254">
        <v>120224</v>
      </c>
      <c r="G14" s="254">
        <v>126287</v>
      </c>
      <c r="I14" s="19"/>
    </row>
    <row r="15" spans="1:12" ht="15" customHeight="1" x14ac:dyDescent="0.25">
      <c r="A15" s="75" t="s">
        <v>139</v>
      </c>
      <c r="B15" s="253" t="s">
        <v>126</v>
      </c>
      <c r="C15" s="254">
        <v>103727</v>
      </c>
      <c r="D15" s="254">
        <v>108961</v>
      </c>
      <c r="E15" s="254">
        <v>114454</v>
      </c>
      <c r="F15" s="254">
        <v>120224</v>
      </c>
      <c r="G15" s="254">
        <v>126287</v>
      </c>
      <c r="I15" s="19"/>
    </row>
    <row r="16" spans="1:12" ht="15" customHeight="1" x14ac:dyDescent="0.25">
      <c r="A16" s="75" t="s">
        <v>140</v>
      </c>
      <c r="B16" s="253" t="s">
        <v>130</v>
      </c>
      <c r="C16" s="254">
        <v>155148</v>
      </c>
      <c r="D16" s="254">
        <v>162973</v>
      </c>
      <c r="E16" s="254">
        <v>171186</v>
      </c>
      <c r="F16" s="254">
        <v>179819</v>
      </c>
      <c r="G16" s="254">
        <v>188891</v>
      </c>
      <c r="I16" s="19"/>
    </row>
    <row r="17" spans="1:11" ht="15" customHeight="1" x14ac:dyDescent="0.25">
      <c r="A17" s="75" t="s">
        <v>141</v>
      </c>
      <c r="B17" s="253" t="s">
        <v>130</v>
      </c>
      <c r="C17" s="254">
        <v>155148</v>
      </c>
      <c r="D17" s="254">
        <v>162973</v>
      </c>
      <c r="E17" s="254">
        <v>171186</v>
      </c>
      <c r="F17" s="254">
        <v>179819</v>
      </c>
      <c r="G17" s="254">
        <v>188891</v>
      </c>
      <c r="I17" s="19"/>
    </row>
    <row r="18" spans="1:11" ht="15" customHeight="1" x14ac:dyDescent="0.25">
      <c r="A18" s="75" t="s">
        <v>142</v>
      </c>
      <c r="B18" s="253" t="s">
        <v>130</v>
      </c>
      <c r="C18" s="254">
        <v>155148</v>
      </c>
      <c r="D18" s="254">
        <v>162973</v>
      </c>
      <c r="E18" s="254">
        <v>171186</v>
      </c>
      <c r="F18" s="254">
        <v>179819</v>
      </c>
      <c r="G18" s="254">
        <v>188891</v>
      </c>
      <c r="I18" s="19"/>
    </row>
    <row r="19" spans="1:11" ht="15" customHeight="1" x14ac:dyDescent="0.25">
      <c r="A19" s="75" t="s">
        <v>143</v>
      </c>
      <c r="B19" s="253" t="s">
        <v>130</v>
      </c>
      <c r="C19" s="254">
        <v>155148</v>
      </c>
      <c r="D19" s="254">
        <v>162973</v>
      </c>
      <c r="E19" s="254">
        <v>171186</v>
      </c>
      <c r="F19" s="254">
        <v>179819</v>
      </c>
      <c r="G19" s="254">
        <v>188891</v>
      </c>
      <c r="I19" s="19"/>
    </row>
    <row r="20" spans="1:11" ht="15" customHeight="1" x14ac:dyDescent="0.25">
      <c r="A20" s="75" t="s">
        <v>144</v>
      </c>
      <c r="B20" s="253" t="s">
        <v>130</v>
      </c>
      <c r="C20" s="254">
        <v>155148</v>
      </c>
      <c r="D20" s="254">
        <v>162973</v>
      </c>
      <c r="E20" s="254">
        <v>171186</v>
      </c>
      <c r="F20" s="254">
        <v>179819</v>
      </c>
      <c r="G20" s="254">
        <v>188891</v>
      </c>
      <c r="I20" s="19"/>
    </row>
    <row r="21" spans="1:11" ht="15" customHeight="1" x14ac:dyDescent="0.25">
      <c r="A21" s="75" t="s">
        <v>145</v>
      </c>
      <c r="B21" s="253" t="s">
        <v>130</v>
      </c>
      <c r="C21" s="254">
        <v>155148</v>
      </c>
      <c r="D21" s="254">
        <v>162973</v>
      </c>
      <c r="E21" s="254">
        <v>171186</v>
      </c>
      <c r="F21" s="254">
        <v>179819</v>
      </c>
      <c r="G21" s="254">
        <v>188891</v>
      </c>
      <c r="I21" s="19"/>
    </row>
    <row r="22" spans="1:11" ht="15" customHeight="1" x14ac:dyDescent="0.25">
      <c r="A22" s="75" t="s">
        <v>146</v>
      </c>
      <c r="B22" s="253" t="s">
        <v>147</v>
      </c>
      <c r="C22" s="254">
        <v>171335</v>
      </c>
      <c r="D22" s="254">
        <v>179972</v>
      </c>
      <c r="E22" s="254">
        <v>189047</v>
      </c>
      <c r="F22" s="254">
        <v>198582</v>
      </c>
      <c r="G22" s="254">
        <v>208593</v>
      </c>
      <c r="I22" s="19"/>
    </row>
    <row r="23" spans="1:11" ht="15" customHeight="1" x14ac:dyDescent="0.25">
      <c r="A23" s="75" t="s">
        <v>148</v>
      </c>
      <c r="B23" s="253" t="s">
        <v>149</v>
      </c>
      <c r="C23" s="254">
        <v>194392</v>
      </c>
      <c r="D23" s="254">
        <v>204195</v>
      </c>
      <c r="E23" s="254">
        <v>214492</v>
      </c>
      <c r="F23" s="254">
        <v>225303</v>
      </c>
      <c r="G23" s="254">
        <v>236667</v>
      </c>
      <c r="I23" s="19"/>
    </row>
    <row r="24" spans="1:11" ht="15" customHeight="1" x14ac:dyDescent="0.25">
      <c r="A24" s="75" t="s">
        <v>150</v>
      </c>
      <c r="B24" s="253" t="s">
        <v>149</v>
      </c>
      <c r="C24" s="254">
        <v>194392</v>
      </c>
      <c r="D24" s="254">
        <v>204195</v>
      </c>
      <c r="E24" s="254">
        <v>214492</v>
      </c>
      <c r="F24" s="254">
        <v>225303</v>
      </c>
      <c r="G24" s="254">
        <v>236667</v>
      </c>
      <c r="I24" s="19"/>
    </row>
    <row r="25" spans="1:11" ht="15" customHeight="1" x14ac:dyDescent="0.25">
      <c r="A25" s="75" t="s">
        <v>151</v>
      </c>
      <c r="B25" s="253" t="s">
        <v>149</v>
      </c>
      <c r="C25" s="254">
        <v>194392</v>
      </c>
      <c r="D25" s="254">
        <v>204195</v>
      </c>
      <c r="E25" s="254">
        <v>214492</v>
      </c>
      <c r="F25" s="254">
        <v>225303</v>
      </c>
      <c r="G25" s="254">
        <v>236667</v>
      </c>
      <c r="I25" s="19"/>
    </row>
    <row r="26" spans="1:11" ht="15" customHeight="1" x14ac:dyDescent="0.25">
      <c r="A26" s="75" t="s">
        <v>152</v>
      </c>
      <c r="B26" s="253" t="s">
        <v>149</v>
      </c>
      <c r="C26" s="254">
        <v>194392</v>
      </c>
      <c r="D26" s="254">
        <v>204195</v>
      </c>
      <c r="E26" s="254">
        <v>214492</v>
      </c>
      <c r="F26" s="254">
        <v>225303</v>
      </c>
      <c r="G26" s="254">
        <v>236667</v>
      </c>
      <c r="I26" s="19"/>
    </row>
    <row r="27" spans="1:11" ht="15" customHeight="1" x14ac:dyDescent="0.25">
      <c r="A27" s="75" t="s">
        <v>153</v>
      </c>
      <c r="B27" s="253" t="s">
        <v>154</v>
      </c>
      <c r="C27" s="254">
        <v>181745</v>
      </c>
      <c r="D27" s="254">
        <v>190906</v>
      </c>
      <c r="E27" s="254">
        <v>200534</v>
      </c>
      <c r="F27" s="254">
        <v>210643</v>
      </c>
      <c r="G27" s="254">
        <v>221262</v>
      </c>
      <c r="I27" s="19"/>
    </row>
    <row r="28" spans="1:11" ht="15" customHeight="1" x14ac:dyDescent="0.25">
      <c r="A28" s="75" t="s">
        <v>155</v>
      </c>
      <c r="B28" s="253" t="s">
        <v>156</v>
      </c>
      <c r="C28" s="254">
        <v>86438</v>
      </c>
      <c r="D28" s="254">
        <v>90798</v>
      </c>
      <c r="E28" s="254">
        <v>95376</v>
      </c>
      <c r="F28" s="254">
        <v>100184</v>
      </c>
      <c r="G28" s="254">
        <v>105235</v>
      </c>
      <c r="I28" s="19"/>
      <c r="K28" s="71"/>
    </row>
    <row r="29" spans="1:11" ht="15" customHeight="1" x14ac:dyDescent="0.25">
      <c r="A29" s="75" t="s">
        <v>157</v>
      </c>
      <c r="B29" s="253" t="s">
        <v>149</v>
      </c>
      <c r="C29" s="254">
        <v>194392</v>
      </c>
      <c r="D29" s="254">
        <v>204195</v>
      </c>
      <c r="E29" s="254">
        <v>214492</v>
      </c>
      <c r="F29" s="254">
        <v>225303</v>
      </c>
      <c r="G29" s="254">
        <v>236667</v>
      </c>
      <c r="I29" s="19"/>
    </row>
    <row r="30" spans="1:11" ht="15" customHeight="1" x14ac:dyDescent="0.25">
      <c r="A30" s="75" t="s">
        <v>158</v>
      </c>
      <c r="B30" s="253" t="s">
        <v>147</v>
      </c>
      <c r="C30" s="254">
        <v>171335</v>
      </c>
      <c r="D30" s="254">
        <v>179972</v>
      </c>
      <c r="E30" s="254">
        <v>189047</v>
      </c>
      <c r="F30" s="254">
        <v>198582</v>
      </c>
      <c r="G30" s="254">
        <v>208593</v>
      </c>
      <c r="I30" s="19"/>
    </row>
    <row r="31" spans="1:11" ht="15" customHeight="1" x14ac:dyDescent="0.25">
      <c r="A31" s="75" t="s">
        <v>159</v>
      </c>
      <c r="B31" s="253" t="s">
        <v>149</v>
      </c>
      <c r="C31" s="254">
        <v>194392</v>
      </c>
      <c r="D31" s="254">
        <v>204195</v>
      </c>
      <c r="E31" s="254">
        <v>214492</v>
      </c>
      <c r="F31" s="254">
        <v>225303</v>
      </c>
      <c r="G31" s="254">
        <v>236667</v>
      </c>
      <c r="I31" s="19"/>
    </row>
    <row r="32" spans="1:11" ht="15" customHeight="1" x14ac:dyDescent="0.25">
      <c r="A32" s="75" t="s">
        <v>160</v>
      </c>
      <c r="B32" s="253" t="s">
        <v>137</v>
      </c>
      <c r="C32" s="254">
        <v>111661</v>
      </c>
      <c r="D32" s="254">
        <v>117290</v>
      </c>
      <c r="E32" s="254">
        <v>123205</v>
      </c>
      <c r="F32" s="254">
        <v>129416</v>
      </c>
      <c r="G32" s="254">
        <v>135942</v>
      </c>
      <c r="I32" s="19"/>
    </row>
    <row r="33" spans="1:9" ht="15" customHeight="1" x14ac:dyDescent="0.25">
      <c r="A33" s="75" t="s">
        <v>161</v>
      </c>
      <c r="B33" s="253" t="s">
        <v>162</v>
      </c>
      <c r="C33" s="254">
        <v>176279</v>
      </c>
      <c r="D33" s="254">
        <v>185166</v>
      </c>
      <c r="E33" s="254">
        <v>194503</v>
      </c>
      <c r="F33" s="254">
        <v>204309</v>
      </c>
      <c r="G33" s="254">
        <v>214609</v>
      </c>
      <c r="I33" s="19"/>
    </row>
    <row r="34" spans="1:9" ht="15" customHeight="1" x14ac:dyDescent="0.25">
      <c r="A34" s="75" t="s">
        <v>163</v>
      </c>
      <c r="B34" s="253" t="s">
        <v>126</v>
      </c>
      <c r="C34" s="254">
        <v>103727</v>
      </c>
      <c r="D34" s="254">
        <v>108961</v>
      </c>
      <c r="E34" s="254">
        <v>114454</v>
      </c>
      <c r="F34" s="254">
        <v>120224</v>
      </c>
      <c r="G34" s="254">
        <v>126287</v>
      </c>
      <c r="I34" s="19"/>
    </row>
    <row r="35" spans="1:9" ht="15" customHeight="1" x14ac:dyDescent="0.25">
      <c r="A35" s="75" t="s">
        <v>164</v>
      </c>
      <c r="B35" s="253" t="s">
        <v>165</v>
      </c>
      <c r="C35" s="254">
        <v>90763</v>
      </c>
      <c r="D35" s="254">
        <v>95335</v>
      </c>
      <c r="E35" s="254">
        <v>100145</v>
      </c>
      <c r="F35" s="254">
        <v>105194</v>
      </c>
      <c r="G35" s="254">
        <v>110496</v>
      </c>
      <c r="I35" s="19"/>
    </row>
    <row r="36" spans="1:9" ht="15" customHeight="1" x14ac:dyDescent="0.25">
      <c r="A36" s="75" t="s">
        <v>166</v>
      </c>
      <c r="B36" s="253" t="s">
        <v>162</v>
      </c>
      <c r="C36" s="254">
        <v>176279</v>
      </c>
      <c r="D36" s="254">
        <v>185166</v>
      </c>
      <c r="E36" s="254">
        <v>194503</v>
      </c>
      <c r="F36" s="254">
        <v>204309</v>
      </c>
      <c r="G36" s="254">
        <v>214609</v>
      </c>
      <c r="I36" s="19"/>
    </row>
    <row r="37" spans="1:9" ht="15" customHeight="1" x14ac:dyDescent="0.25">
      <c r="A37" s="75" t="s">
        <v>167</v>
      </c>
      <c r="B37" s="253" t="s">
        <v>154</v>
      </c>
      <c r="C37" s="254">
        <v>181745</v>
      </c>
      <c r="D37" s="254">
        <v>190906</v>
      </c>
      <c r="E37" s="254">
        <v>200534</v>
      </c>
      <c r="F37" s="254">
        <v>210643</v>
      </c>
      <c r="G37" s="254">
        <v>221262</v>
      </c>
      <c r="I37" s="19"/>
    </row>
    <row r="38" spans="1:9" ht="15" customHeight="1" x14ac:dyDescent="0.25">
      <c r="A38" s="75" t="s">
        <v>168</v>
      </c>
      <c r="B38" s="253" t="s">
        <v>154</v>
      </c>
      <c r="C38" s="254">
        <v>181745</v>
      </c>
      <c r="D38" s="254">
        <v>190906</v>
      </c>
      <c r="E38" s="254">
        <v>200534</v>
      </c>
      <c r="F38" s="254">
        <v>210643</v>
      </c>
      <c r="G38" s="254">
        <v>221262</v>
      </c>
      <c r="I38" s="19"/>
    </row>
    <row r="39" spans="1:9" ht="15" customHeight="1" x14ac:dyDescent="0.25">
      <c r="A39" s="75" t="s">
        <v>169</v>
      </c>
      <c r="B39" s="253" t="s">
        <v>154</v>
      </c>
      <c r="C39" s="254">
        <v>181745</v>
      </c>
      <c r="D39" s="254">
        <v>190906</v>
      </c>
      <c r="E39" s="254">
        <v>200534</v>
      </c>
      <c r="F39" s="254">
        <v>210643</v>
      </c>
      <c r="G39" s="254">
        <v>221262</v>
      </c>
      <c r="I39" s="19"/>
    </row>
    <row r="40" spans="1:9" ht="15" customHeight="1" x14ac:dyDescent="0.25">
      <c r="A40" s="75" t="s">
        <v>170</v>
      </c>
      <c r="B40" s="253" t="s">
        <v>154</v>
      </c>
      <c r="C40" s="254">
        <v>181745</v>
      </c>
      <c r="D40" s="254">
        <v>190906</v>
      </c>
      <c r="E40" s="254">
        <v>200534</v>
      </c>
      <c r="F40" s="254">
        <v>210643</v>
      </c>
      <c r="G40" s="254">
        <v>221262</v>
      </c>
      <c r="I40" s="19"/>
    </row>
    <row r="41" spans="1:9" ht="15" customHeight="1" x14ac:dyDescent="0.25">
      <c r="A41" s="75" t="s">
        <v>171</v>
      </c>
      <c r="B41" s="253" t="s">
        <v>154</v>
      </c>
      <c r="C41" s="254">
        <v>181745</v>
      </c>
      <c r="D41" s="254">
        <v>190906</v>
      </c>
      <c r="E41" s="254">
        <v>200534</v>
      </c>
      <c r="F41" s="254">
        <v>210643</v>
      </c>
      <c r="G41" s="254">
        <v>221262</v>
      </c>
      <c r="I41" s="19"/>
    </row>
    <row r="42" spans="1:9" ht="15" customHeight="1" x14ac:dyDescent="0.25">
      <c r="A42" s="75" t="s">
        <v>172</v>
      </c>
      <c r="B42" s="253" t="s">
        <v>154</v>
      </c>
      <c r="C42" s="254">
        <v>181745</v>
      </c>
      <c r="D42" s="254">
        <v>190906</v>
      </c>
      <c r="E42" s="254">
        <v>200534</v>
      </c>
      <c r="F42" s="254">
        <v>210643</v>
      </c>
      <c r="G42" s="254">
        <v>221262</v>
      </c>
      <c r="I42" s="19"/>
    </row>
    <row r="43" spans="1:9" ht="15" customHeight="1" x14ac:dyDescent="0.25">
      <c r="A43" s="75" t="s">
        <v>173</v>
      </c>
      <c r="B43" s="253" t="s">
        <v>154</v>
      </c>
      <c r="C43" s="254">
        <v>181745</v>
      </c>
      <c r="D43" s="254">
        <v>190906</v>
      </c>
      <c r="E43" s="254">
        <v>200534</v>
      </c>
      <c r="F43" s="254">
        <v>210643</v>
      </c>
      <c r="G43" s="254">
        <v>221262</v>
      </c>
      <c r="I43" s="19"/>
    </row>
    <row r="44" spans="1:9" ht="15" customHeight="1" x14ac:dyDescent="0.25">
      <c r="A44" s="75" t="s">
        <v>174</v>
      </c>
      <c r="B44" s="253" t="s">
        <v>154</v>
      </c>
      <c r="C44" s="254">
        <v>181745</v>
      </c>
      <c r="D44" s="254">
        <v>190906</v>
      </c>
      <c r="E44" s="254">
        <v>200534</v>
      </c>
      <c r="F44" s="254">
        <v>210643</v>
      </c>
      <c r="G44" s="254">
        <v>221262</v>
      </c>
      <c r="I44" s="19"/>
    </row>
    <row r="45" spans="1:9" ht="15" customHeight="1" x14ac:dyDescent="0.25">
      <c r="A45" s="75" t="s">
        <v>175</v>
      </c>
      <c r="B45" s="253" t="s">
        <v>154</v>
      </c>
      <c r="C45" s="254">
        <v>181745</v>
      </c>
      <c r="D45" s="254">
        <v>190906</v>
      </c>
      <c r="E45" s="254">
        <v>200534</v>
      </c>
      <c r="F45" s="254">
        <v>210643</v>
      </c>
      <c r="G45" s="254">
        <v>221262</v>
      </c>
      <c r="I45" s="19"/>
    </row>
    <row r="46" spans="1:9" ht="15" customHeight="1" x14ac:dyDescent="0.25">
      <c r="A46" s="75" t="s">
        <v>176</v>
      </c>
      <c r="B46" s="253" t="s">
        <v>147</v>
      </c>
      <c r="C46" s="254">
        <v>171335</v>
      </c>
      <c r="D46" s="254">
        <v>179972</v>
      </c>
      <c r="E46" s="254">
        <v>189047</v>
      </c>
      <c r="F46" s="254">
        <v>198582</v>
      </c>
      <c r="G46" s="254">
        <v>208593</v>
      </c>
      <c r="I46" s="19"/>
    </row>
    <row r="47" spans="1:9" ht="15" customHeight="1" x14ac:dyDescent="0.25">
      <c r="A47" s="75" t="s">
        <v>177</v>
      </c>
      <c r="B47" s="253" t="s">
        <v>178</v>
      </c>
      <c r="C47" s="254">
        <v>166842</v>
      </c>
      <c r="D47" s="254">
        <v>175258</v>
      </c>
      <c r="E47" s="254">
        <v>184090</v>
      </c>
      <c r="F47" s="254">
        <v>193372</v>
      </c>
      <c r="G47" s="254">
        <v>203125</v>
      </c>
      <c r="I47" s="19"/>
    </row>
    <row r="48" spans="1:9" ht="15" customHeight="1" x14ac:dyDescent="0.25">
      <c r="A48" s="75" t="s">
        <v>179</v>
      </c>
      <c r="B48" s="253" t="s">
        <v>147</v>
      </c>
      <c r="C48" s="254">
        <v>171335</v>
      </c>
      <c r="D48" s="254">
        <v>179972</v>
      </c>
      <c r="E48" s="254">
        <v>189047</v>
      </c>
      <c r="F48" s="254">
        <v>198582</v>
      </c>
      <c r="G48" s="254">
        <v>208593</v>
      </c>
      <c r="I48" s="19"/>
    </row>
    <row r="49" spans="1:9" ht="15" customHeight="1" x14ac:dyDescent="0.25">
      <c r="A49" s="75" t="s">
        <v>180</v>
      </c>
      <c r="B49" s="253" t="s">
        <v>130</v>
      </c>
      <c r="C49" s="254">
        <v>155148</v>
      </c>
      <c r="D49" s="254">
        <v>162973</v>
      </c>
      <c r="E49" s="254">
        <v>171186</v>
      </c>
      <c r="F49" s="254">
        <v>179819</v>
      </c>
      <c r="G49" s="254">
        <v>188891</v>
      </c>
      <c r="I49" s="19"/>
    </row>
    <row r="50" spans="1:9" ht="15" customHeight="1" x14ac:dyDescent="0.25">
      <c r="A50" s="75" t="s">
        <v>181</v>
      </c>
      <c r="B50" s="253" t="s">
        <v>154</v>
      </c>
      <c r="C50" s="254">
        <v>181745</v>
      </c>
      <c r="D50" s="254">
        <v>190906</v>
      </c>
      <c r="E50" s="254">
        <v>200534</v>
      </c>
      <c r="F50" s="254">
        <v>210643</v>
      </c>
      <c r="G50" s="254">
        <v>221262</v>
      </c>
      <c r="I50" s="19"/>
    </row>
    <row r="51" spans="1:9" ht="15" customHeight="1" x14ac:dyDescent="0.25">
      <c r="A51" s="75" t="s">
        <v>182</v>
      </c>
      <c r="B51" s="253" t="s">
        <v>162</v>
      </c>
      <c r="C51" s="254">
        <v>176279</v>
      </c>
      <c r="D51" s="254">
        <v>185166</v>
      </c>
      <c r="E51" s="254">
        <v>194503</v>
      </c>
      <c r="F51" s="254">
        <v>204309</v>
      </c>
      <c r="G51" s="254">
        <v>214609</v>
      </c>
      <c r="I51" s="19"/>
    </row>
    <row r="52" spans="1:9" ht="15" customHeight="1" x14ac:dyDescent="0.25">
      <c r="A52" s="75" t="s">
        <v>183</v>
      </c>
      <c r="B52" s="253" t="s">
        <v>162</v>
      </c>
      <c r="C52" s="254">
        <v>176279</v>
      </c>
      <c r="D52" s="254">
        <v>185166</v>
      </c>
      <c r="E52" s="254">
        <v>194503</v>
      </c>
      <c r="F52" s="254">
        <v>204309</v>
      </c>
      <c r="G52" s="254">
        <v>214609</v>
      </c>
      <c r="I52" s="19"/>
    </row>
    <row r="53" spans="1:9" ht="15" customHeight="1" x14ac:dyDescent="0.25">
      <c r="A53" s="75" t="s">
        <v>184</v>
      </c>
      <c r="B53" s="253" t="s">
        <v>178</v>
      </c>
      <c r="C53" s="254">
        <v>166842</v>
      </c>
      <c r="D53" s="254">
        <v>175258</v>
      </c>
      <c r="E53" s="254">
        <v>184090</v>
      </c>
      <c r="F53" s="254">
        <v>193372</v>
      </c>
      <c r="G53" s="254">
        <v>203125</v>
      </c>
      <c r="I53" s="19"/>
    </row>
    <row r="54" spans="1:9" ht="15" customHeight="1" x14ac:dyDescent="0.25">
      <c r="A54" s="75" t="s">
        <v>185</v>
      </c>
      <c r="B54" s="253" t="s">
        <v>130</v>
      </c>
      <c r="C54" s="254">
        <v>155148</v>
      </c>
      <c r="D54" s="254">
        <v>162973</v>
      </c>
      <c r="E54" s="254">
        <v>171186</v>
      </c>
      <c r="F54" s="254">
        <v>179819</v>
      </c>
      <c r="G54" s="254">
        <v>188891</v>
      </c>
      <c r="I54" s="19"/>
    </row>
    <row r="55" spans="1:9" ht="15" customHeight="1" x14ac:dyDescent="0.25">
      <c r="A55" s="75" t="s">
        <v>186</v>
      </c>
      <c r="B55" s="253" t="s">
        <v>178</v>
      </c>
      <c r="C55" s="254">
        <v>166842</v>
      </c>
      <c r="D55" s="254">
        <v>175258</v>
      </c>
      <c r="E55" s="254">
        <v>184090</v>
      </c>
      <c r="F55" s="254">
        <v>193372</v>
      </c>
      <c r="G55" s="254">
        <v>203125</v>
      </c>
      <c r="I55" s="19"/>
    </row>
    <row r="56" spans="1:9" ht="15" customHeight="1" x14ac:dyDescent="0.25">
      <c r="A56" s="75" t="s">
        <v>187</v>
      </c>
      <c r="B56" s="253" t="s">
        <v>178</v>
      </c>
      <c r="C56" s="254">
        <v>166842</v>
      </c>
      <c r="D56" s="254">
        <v>175258</v>
      </c>
      <c r="E56" s="254">
        <v>184090</v>
      </c>
      <c r="F56" s="254">
        <v>193372</v>
      </c>
      <c r="G56" s="254">
        <v>203125</v>
      </c>
      <c r="I56" s="19"/>
    </row>
    <row r="57" spans="1:9" ht="15" customHeight="1" x14ac:dyDescent="0.25">
      <c r="A57" s="75" t="s">
        <v>188</v>
      </c>
      <c r="B57" s="253" t="s">
        <v>178</v>
      </c>
      <c r="C57" s="254">
        <v>166842</v>
      </c>
      <c r="D57" s="254">
        <v>175258</v>
      </c>
      <c r="E57" s="254">
        <v>184090</v>
      </c>
      <c r="F57" s="254">
        <v>193372</v>
      </c>
      <c r="G57" s="254">
        <v>203125</v>
      </c>
      <c r="I57" s="19"/>
    </row>
    <row r="58" spans="1:9" ht="15" customHeight="1" x14ac:dyDescent="0.25">
      <c r="A58" s="75" t="s">
        <v>189</v>
      </c>
      <c r="B58" s="253" t="s">
        <v>178</v>
      </c>
      <c r="C58" s="254">
        <v>166842</v>
      </c>
      <c r="D58" s="254">
        <v>175258</v>
      </c>
      <c r="E58" s="254">
        <v>184090</v>
      </c>
      <c r="F58" s="254">
        <v>193372</v>
      </c>
      <c r="G58" s="254">
        <v>203125</v>
      </c>
      <c r="I58" s="19"/>
    </row>
    <row r="59" spans="1:9" ht="15" customHeight="1" x14ac:dyDescent="0.25">
      <c r="A59" s="75" t="s">
        <v>190</v>
      </c>
      <c r="B59" s="253" t="s">
        <v>154</v>
      </c>
      <c r="C59" s="254">
        <v>181745</v>
      </c>
      <c r="D59" s="254">
        <v>190906</v>
      </c>
      <c r="E59" s="254">
        <v>200534</v>
      </c>
      <c r="F59" s="254">
        <v>210643</v>
      </c>
      <c r="G59" s="254">
        <v>221262</v>
      </c>
      <c r="I59" s="19"/>
    </row>
    <row r="60" spans="1:9" ht="15" customHeight="1" x14ac:dyDescent="0.25">
      <c r="A60" s="75" t="s">
        <v>191</v>
      </c>
      <c r="B60" s="253" t="s">
        <v>178</v>
      </c>
      <c r="C60" s="254">
        <v>166842</v>
      </c>
      <c r="D60" s="254">
        <v>175258</v>
      </c>
      <c r="E60" s="254">
        <v>184090</v>
      </c>
      <c r="F60" s="254">
        <v>193372</v>
      </c>
      <c r="G60" s="254">
        <v>203125</v>
      </c>
      <c r="I60" s="19"/>
    </row>
    <row r="61" spans="1:9" ht="15" customHeight="1" x14ac:dyDescent="0.25">
      <c r="A61" s="75" t="s">
        <v>192</v>
      </c>
      <c r="B61" s="253" t="s">
        <v>147</v>
      </c>
      <c r="C61" s="254">
        <v>171335</v>
      </c>
      <c r="D61" s="254">
        <v>179972</v>
      </c>
      <c r="E61" s="254">
        <v>189047</v>
      </c>
      <c r="F61" s="254">
        <v>198582</v>
      </c>
      <c r="G61" s="254">
        <v>208593</v>
      </c>
      <c r="I61" s="19"/>
    </row>
    <row r="62" spans="1:9" ht="15" customHeight="1" x14ac:dyDescent="0.25">
      <c r="A62" s="75" t="s">
        <v>193</v>
      </c>
      <c r="B62" s="253" t="s">
        <v>178</v>
      </c>
      <c r="C62" s="254">
        <v>166842</v>
      </c>
      <c r="D62" s="254">
        <v>175258</v>
      </c>
      <c r="E62" s="254">
        <v>184090</v>
      </c>
      <c r="F62" s="254">
        <v>193372</v>
      </c>
      <c r="G62" s="254">
        <v>203125</v>
      </c>
      <c r="I62" s="19"/>
    </row>
    <row r="63" spans="1:9" ht="15" customHeight="1" x14ac:dyDescent="0.25">
      <c r="A63" s="75" t="s">
        <v>194</v>
      </c>
      <c r="B63" s="253" t="s">
        <v>147</v>
      </c>
      <c r="C63" s="254">
        <v>171335</v>
      </c>
      <c r="D63" s="254">
        <v>179972</v>
      </c>
      <c r="E63" s="254">
        <v>189047</v>
      </c>
      <c r="F63" s="254">
        <v>198582</v>
      </c>
      <c r="G63" s="254">
        <v>208593</v>
      </c>
      <c r="I63" s="19"/>
    </row>
    <row r="64" spans="1:9" ht="15" customHeight="1" x14ac:dyDescent="0.25">
      <c r="A64" s="75" t="s">
        <v>195</v>
      </c>
      <c r="B64" s="253" t="s">
        <v>162</v>
      </c>
      <c r="C64" s="254">
        <v>176279</v>
      </c>
      <c r="D64" s="254">
        <v>185166</v>
      </c>
      <c r="E64" s="254">
        <v>194503</v>
      </c>
      <c r="F64" s="254">
        <v>204309</v>
      </c>
      <c r="G64" s="254">
        <v>214609</v>
      </c>
      <c r="I64" s="19"/>
    </row>
    <row r="65" spans="1:9" ht="15" customHeight="1" x14ac:dyDescent="0.25">
      <c r="A65" s="75" t="s">
        <v>196</v>
      </c>
      <c r="B65" s="253" t="s">
        <v>162</v>
      </c>
      <c r="C65" s="254">
        <v>176279</v>
      </c>
      <c r="D65" s="254">
        <v>185166</v>
      </c>
      <c r="E65" s="254">
        <v>194503</v>
      </c>
      <c r="F65" s="254">
        <v>204309</v>
      </c>
      <c r="G65" s="254">
        <v>214609</v>
      </c>
      <c r="I65" s="19"/>
    </row>
    <row r="66" spans="1:9" ht="15" customHeight="1" x14ac:dyDescent="0.25">
      <c r="A66" s="75" t="s">
        <v>197</v>
      </c>
      <c r="B66" s="253" t="s">
        <v>147</v>
      </c>
      <c r="C66" s="254">
        <v>171335</v>
      </c>
      <c r="D66" s="254">
        <v>179972</v>
      </c>
      <c r="E66" s="254">
        <v>189047</v>
      </c>
      <c r="F66" s="254">
        <v>198582</v>
      </c>
      <c r="G66" s="254">
        <v>208593</v>
      </c>
      <c r="I66" s="19"/>
    </row>
    <row r="67" spans="1:9" ht="15" customHeight="1" x14ac:dyDescent="0.25">
      <c r="A67" s="75" t="s">
        <v>198</v>
      </c>
      <c r="B67" s="253" t="s">
        <v>130</v>
      </c>
      <c r="C67" s="254">
        <v>155148</v>
      </c>
      <c r="D67" s="254">
        <v>162973</v>
      </c>
      <c r="E67" s="254">
        <v>171186</v>
      </c>
      <c r="F67" s="254">
        <v>179819</v>
      </c>
      <c r="G67" s="254">
        <v>188891</v>
      </c>
      <c r="I67" s="19"/>
    </row>
    <row r="68" spans="1:9" ht="15" customHeight="1" x14ac:dyDescent="0.25">
      <c r="A68" s="75" t="s">
        <v>199</v>
      </c>
      <c r="B68" s="253" t="s">
        <v>147</v>
      </c>
      <c r="C68" s="254">
        <v>171335</v>
      </c>
      <c r="D68" s="254">
        <v>179972</v>
      </c>
      <c r="E68" s="254">
        <v>189047</v>
      </c>
      <c r="F68" s="254">
        <v>198582</v>
      </c>
      <c r="G68" s="254">
        <v>208593</v>
      </c>
      <c r="I68" s="19"/>
    </row>
    <row r="69" spans="1:9" ht="15" customHeight="1" x14ac:dyDescent="0.25">
      <c r="A69" s="75" t="s">
        <v>200</v>
      </c>
      <c r="B69" s="253" t="s">
        <v>137</v>
      </c>
      <c r="C69" s="254">
        <v>111661</v>
      </c>
      <c r="D69" s="254">
        <v>117290</v>
      </c>
      <c r="E69" s="254">
        <v>123205</v>
      </c>
      <c r="F69" s="254">
        <v>129416</v>
      </c>
      <c r="G69" s="254">
        <v>135942</v>
      </c>
      <c r="I69" s="19"/>
    </row>
    <row r="70" spans="1:9" ht="15" customHeight="1" x14ac:dyDescent="0.25">
      <c r="A70" s="75" t="s">
        <v>201</v>
      </c>
      <c r="B70" s="253" t="s">
        <v>128</v>
      </c>
      <c r="C70" s="254">
        <v>107497</v>
      </c>
      <c r="D70" s="254">
        <v>112919</v>
      </c>
      <c r="E70" s="254">
        <v>118616</v>
      </c>
      <c r="F70" s="254">
        <v>124593</v>
      </c>
      <c r="G70" s="254">
        <v>130878</v>
      </c>
      <c r="I70" s="19"/>
    </row>
    <row r="71" spans="1:9" ht="15" customHeight="1" x14ac:dyDescent="0.25">
      <c r="A71" s="75" t="s">
        <v>202</v>
      </c>
      <c r="B71" s="253" t="s">
        <v>147</v>
      </c>
      <c r="C71" s="254">
        <v>171335</v>
      </c>
      <c r="D71" s="254">
        <v>179972</v>
      </c>
      <c r="E71" s="254">
        <v>189047</v>
      </c>
      <c r="F71" s="254">
        <v>198582</v>
      </c>
      <c r="G71" s="254">
        <v>208593</v>
      </c>
      <c r="I71" s="19"/>
    </row>
    <row r="72" spans="1:9" ht="15" customHeight="1" x14ac:dyDescent="0.25">
      <c r="A72" s="75" t="s">
        <v>203</v>
      </c>
      <c r="B72" s="253" t="s">
        <v>130</v>
      </c>
      <c r="C72" s="254">
        <v>155148</v>
      </c>
      <c r="D72" s="254">
        <v>162973</v>
      </c>
      <c r="E72" s="254">
        <v>171186</v>
      </c>
      <c r="F72" s="254">
        <v>179819</v>
      </c>
      <c r="G72" s="254">
        <v>188891</v>
      </c>
      <c r="I72" s="19"/>
    </row>
    <row r="73" spans="1:9" ht="15" customHeight="1" x14ac:dyDescent="0.25">
      <c r="A73" s="75" t="s">
        <v>204</v>
      </c>
      <c r="B73" s="253" t="s">
        <v>178</v>
      </c>
      <c r="C73" s="254">
        <v>166842</v>
      </c>
      <c r="D73" s="254">
        <v>175258</v>
      </c>
      <c r="E73" s="254">
        <v>184090</v>
      </c>
      <c r="F73" s="254">
        <v>193372</v>
      </c>
      <c r="G73" s="254">
        <v>203125</v>
      </c>
      <c r="I73" s="19"/>
    </row>
    <row r="74" spans="1:9" ht="15" customHeight="1" x14ac:dyDescent="0.25">
      <c r="A74" s="75" t="s">
        <v>205</v>
      </c>
      <c r="B74" s="253" t="s">
        <v>135</v>
      </c>
      <c r="C74" s="254">
        <v>126741</v>
      </c>
      <c r="D74" s="254">
        <v>133128</v>
      </c>
      <c r="E74" s="254">
        <v>139841</v>
      </c>
      <c r="F74" s="254">
        <v>146897</v>
      </c>
      <c r="G74" s="254">
        <v>154301</v>
      </c>
      <c r="I74" s="19"/>
    </row>
    <row r="75" spans="1:9" ht="15" customHeight="1" x14ac:dyDescent="0.25">
      <c r="A75" s="75" t="s">
        <v>206</v>
      </c>
      <c r="B75" s="253" t="s">
        <v>135</v>
      </c>
      <c r="C75" s="254">
        <v>126741</v>
      </c>
      <c r="D75" s="254">
        <v>133128</v>
      </c>
      <c r="E75" s="254">
        <v>139841</v>
      </c>
      <c r="F75" s="254">
        <v>146897</v>
      </c>
      <c r="G75" s="254">
        <v>154301</v>
      </c>
      <c r="I75" s="19"/>
    </row>
    <row r="76" spans="1:9" ht="15" customHeight="1" x14ac:dyDescent="0.25">
      <c r="A76" s="75" t="s">
        <v>207</v>
      </c>
      <c r="B76" s="253" t="s">
        <v>135</v>
      </c>
      <c r="C76" s="254">
        <v>126741</v>
      </c>
      <c r="D76" s="254">
        <v>133128</v>
      </c>
      <c r="E76" s="254">
        <v>139841</v>
      </c>
      <c r="F76" s="254">
        <v>146897</v>
      </c>
      <c r="G76" s="254">
        <v>154301</v>
      </c>
      <c r="I76" s="19"/>
    </row>
    <row r="77" spans="1:9" ht="15" customHeight="1" x14ac:dyDescent="0.25">
      <c r="A77" s="75" t="s">
        <v>208</v>
      </c>
      <c r="B77" s="253" t="s">
        <v>120</v>
      </c>
      <c r="C77" s="254">
        <v>116211</v>
      </c>
      <c r="D77" s="254">
        <v>122068</v>
      </c>
      <c r="E77" s="254">
        <v>128223</v>
      </c>
      <c r="F77" s="254">
        <v>134685</v>
      </c>
      <c r="G77" s="254">
        <v>141483</v>
      </c>
      <c r="I77" s="19"/>
    </row>
    <row r="78" spans="1:9" ht="15" customHeight="1" x14ac:dyDescent="0.25">
      <c r="A78" s="75" t="s">
        <v>209</v>
      </c>
      <c r="B78" s="253" t="s">
        <v>130</v>
      </c>
      <c r="C78" s="254">
        <v>155148</v>
      </c>
      <c r="D78" s="254">
        <v>162973</v>
      </c>
      <c r="E78" s="254">
        <v>171186</v>
      </c>
      <c r="F78" s="254">
        <v>179819</v>
      </c>
      <c r="G78" s="254">
        <v>188891</v>
      </c>
      <c r="I78" s="19"/>
    </row>
    <row r="79" spans="1:9" ht="15" customHeight="1" x14ac:dyDescent="0.25">
      <c r="A79" s="75" t="s">
        <v>210</v>
      </c>
      <c r="B79" s="253" t="s">
        <v>118</v>
      </c>
      <c r="C79" s="254">
        <v>132718</v>
      </c>
      <c r="D79" s="254">
        <v>139410</v>
      </c>
      <c r="E79" s="254">
        <v>146438</v>
      </c>
      <c r="F79" s="254">
        <v>153821</v>
      </c>
      <c r="G79" s="254">
        <v>161580</v>
      </c>
      <c r="I79" s="19"/>
    </row>
    <row r="80" spans="1:9" ht="15" customHeight="1" x14ac:dyDescent="0.25">
      <c r="A80" s="75" t="s">
        <v>211</v>
      </c>
      <c r="B80" s="253" t="s">
        <v>120</v>
      </c>
      <c r="C80" s="254">
        <v>116211</v>
      </c>
      <c r="D80" s="254">
        <v>122068</v>
      </c>
      <c r="E80" s="254">
        <v>128223</v>
      </c>
      <c r="F80" s="254">
        <v>134685</v>
      </c>
      <c r="G80" s="254">
        <v>141483</v>
      </c>
      <c r="I80" s="19"/>
    </row>
    <row r="81" spans="1:9" ht="15" customHeight="1" x14ac:dyDescent="0.25">
      <c r="A81" s="75" t="s">
        <v>212</v>
      </c>
      <c r="B81" s="253" t="s">
        <v>118</v>
      </c>
      <c r="C81" s="254">
        <v>132718</v>
      </c>
      <c r="D81" s="254">
        <v>139410</v>
      </c>
      <c r="E81" s="254">
        <v>146438</v>
      </c>
      <c r="F81" s="254">
        <v>153821</v>
      </c>
      <c r="G81" s="254">
        <v>161580</v>
      </c>
      <c r="I81" s="19"/>
    </row>
    <row r="82" spans="1:9" ht="15" customHeight="1" x14ac:dyDescent="0.25">
      <c r="A82" s="75" t="s">
        <v>213</v>
      </c>
      <c r="B82" s="253" t="s">
        <v>135</v>
      </c>
      <c r="C82" s="254">
        <v>126741</v>
      </c>
      <c r="D82" s="254">
        <v>133128</v>
      </c>
      <c r="E82" s="254">
        <v>139841</v>
      </c>
      <c r="F82" s="254">
        <v>146897</v>
      </c>
      <c r="G82" s="254">
        <v>154301</v>
      </c>
      <c r="I82" s="19"/>
    </row>
    <row r="83" spans="1:9" ht="15" customHeight="1" x14ac:dyDescent="0.25">
      <c r="A83" s="75" t="s">
        <v>214</v>
      </c>
      <c r="B83" s="253" t="s">
        <v>120</v>
      </c>
      <c r="C83" s="254">
        <v>116211</v>
      </c>
      <c r="D83" s="254">
        <v>122068</v>
      </c>
      <c r="E83" s="254">
        <v>128223</v>
      </c>
      <c r="F83" s="254">
        <v>134685</v>
      </c>
      <c r="G83" s="254">
        <v>141483</v>
      </c>
      <c r="I83" s="19"/>
    </row>
    <row r="84" spans="1:9" ht="15" customHeight="1" x14ac:dyDescent="0.25">
      <c r="A84" s="75" t="s">
        <v>215</v>
      </c>
      <c r="B84" s="253" t="s">
        <v>135</v>
      </c>
      <c r="C84" s="254">
        <v>126741</v>
      </c>
      <c r="D84" s="254">
        <v>133128</v>
      </c>
      <c r="E84" s="254">
        <v>139841</v>
      </c>
      <c r="F84" s="254">
        <v>146897</v>
      </c>
      <c r="G84" s="254">
        <v>154301</v>
      </c>
      <c r="I84" s="19"/>
    </row>
    <row r="85" spans="1:9" ht="15" customHeight="1" x14ac:dyDescent="0.25">
      <c r="A85" s="75" t="s">
        <v>216</v>
      </c>
      <c r="B85" s="253" t="s">
        <v>130</v>
      </c>
      <c r="C85" s="254">
        <v>155148</v>
      </c>
      <c r="D85" s="254">
        <v>162973</v>
      </c>
      <c r="E85" s="254">
        <v>171186</v>
      </c>
      <c r="F85" s="254">
        <v>179819</v>
      </c>
      <c r="G85" s="254">
        <v>188891</v>
      </c>
      <c r="I85" s="19"/>
    </row>
    <row r="86" spans="1:9" ht="15" customHeight="1" x14ac:dyDescent="0.25">
      <c r="A86" s="75" t="s">
        <v>217</v>
      </c>
      <c r="B86" s="253" t="s">
        <v>130</v>
      </c>
      <c r="C86" s="254">
        <v>155148</v>
      </c>
      <c r="D86" s="254">
        <v>162973</v>
      </c>
      <c r="E86" s="254">
        <v>171186</v>
      </c>
      <c r="F86" s="254">
        <v>179819</v>
      </c>
      <c r="G86" s="254">
        <v>188891</v>
      </c>
      <c r="I86" s="19"/>
    </row>
    <row r="87" spans="1:9" ht="15" customHeight="1" x14ac:dyDescent="0.25">
      <c r="A87" s="75" t="s">
        <v>218</v>
      </c>
      <c r="B87" s="253" t="s">
        <v>147</v>
      </c>
      <c r="C87" s="254">
        <v>171335</v>
      </c>
      <c r="D87" s="254">
        <v>179972</v>
      </c>
      <c r="E87" s="254">
        <v>189047</v>
      </c>
      <c r="F87" s="254">
        <v>198582</v>
      </c>
      <c r="G87" s="254">
        <v>208593</v>
      </c>
      <c r="I87" s="19"/>
    </row>
    <row r="88" spans="1:9" ht="15" customHeight="1" x14ac:dyDescent="0.25">
      <c r="A88" s="75" t="s">
        <v>219</v>
      </c>
      <c r="B88" s="253" t="s">
        <v>162</v>
      </c>
      <c r="C88" s="254">
        <v>176279</v>
      </c>
      <c r="D88" s="254">
        <v>185166</v>
      </c>
      <c r="E88" s="254">
        <v>194503</v>
      </c>
      <c r="F88" s="254">
        <v>204309</v>
      </c>
      <c r="G88" s="254">
        <v>214609</v>
      </c>
      <c r="I88" s="19"/>
    </row>
    <row r="89" spans="1:9" ht="15" customHeight="1" x14ac:dyDescent="0.25">
      <c r="A89" s="75" t="s">
        <v>220</v>
      </c>
      <c r="B89" s="253" t="s">
        <v>120</v>
      </c>
      <c r="C89" s="254">
        <v>116211</v>
      </c>
      <c r="D89" s="254">
        <v>122068</v>
      </c>
      <c r="E89" s="254">
        <v>128223</v>
      </c>
      <c r="F89" s="254">
        <v>134685</v>
      </c>
      <c r="G89" s="254">
        <v>141483</v>
      </c>
      <c r="I89" s="19"/>
    </row>
    <row r="90" spans="1:9" ht="15" customHeight="1" x14ac:dyDescent="0.25">
      <c r="A90" s="75" t="s">
        <v>221</v>
      </c>
      <c r="B90" s="253" t="s">
        <v>118</v>
      </c>
      <c r="C90" s="254">
        <v>132718</v>
      </c>
      <c r="D90" s="254">
        <v>139410</v>
      </c>
      <c r="E90" s="254">
        <v>146438</v>
      </c>
      <c r="F90" s="254">
        <v>153821</v>
      </c>
      <c r="G90" s="254">
        <v>161580</v>
      </c>
      <c r="I90" s="19"/>
    </row>
    <row r="91" spans="1:9" ht="15" customHeight="1" x14ac:dyDescent="0.25">
      <c r="A91" s="75" t="s">
        <v>222</v>
      </c>
      <c r="B91" s="253" t="s">
        <v>130</v>
      </c>
      <c r="C91" s="254">
        <v>155148</v>
      </c>
      <c r="D91" s="254">
        <v>162973</v>
      </c>
      <c r="E91" s="254">
        <v>171186</v>
      </c>
      <c r="F91" s="254">
        <v>179819</v>
      </c>
      <c r="G91" s="254">
        <v>188891</v>
      </c>
      <c r="I91" s="19"/>
    </row>
    <row r="92" spans="1:9" ht="15" customHeight="1" x14ac:dyDescent="0.25">
      <c r="A92" s="75" t="s">
        <v>223</v>
      </c>
      <c r="B92" s="253" t="s">
        <v>135</v>
      </c>
      <c r="C92" s="254">
        <v>126741</v>
      </c>
      <c r="D92" s="254">
        <v>133128</v>
      </c>
      <c r="E92" s="254">
        <v>139841</v>
      </c>
      <c r="F92" s="254">
        <v>146897</v>
      </c>
      <c r="G92" s="254">
        <v>154301</v>
      </c>
      <c r="I92" s="19"/>
    </row>
    <row r="93" spans="1:9" ht="15" customHeight="1" x14ac:dyDescent="0.25">
      <c r="A93" s="75" t="s">
        <v>224</v>
      </c>
      <c r="B93" s="253" t="s">
        <v>135</v>
      </c>
      <c r="C93" s="254">
        <v>126741</v>
      </c>
      <c r="D93" s="254">
        <v>133128</v>
      </c>
      <c r="E93" s="254">
        <v>139841</v>
      </c>
      <c r="F93" s="254">
        <v>146897</v>
      </c>
      <c r="G93" s="254">
        <v>154301</v>
      </c>
      <c r="I93" s="19"/>
    </row>
    <row r="94" spans="1:9" ht="15" customHeight="1" x14ac:dyDescent="0.25">
      <c r="A94" s="75" t="s">
        <v>225</v>
      </c>
      <c r="B94" s="253" t="s">
        <v>124</v>
      </c>
      <c r="C94" s="254">
        <v>121152</v>
      </c>
      <c r="D94" s="254">
        <v>127257</v>
      </c>
      <c r="E94" s="254">
        <v>133672</v>
      </c>
      <c r="F94" s="254">
        <v>140411</v>
      </c>
      <c r="G94" s="254">
        <v>147491</v>
      </c>
      <c r="I94" s="19"/>
    </row>
    <row r="95" spans="1:9" ht="15" customHeight="1" x14ac:dyDescent="0.25">
      <c r="A95" s="75" t="s">
        <v>226</v>
      </c>
      <c r="B95" s="253" t="s">
        <v>120</v>
      </c>
      <c r="C95" s="254">
        <v>116211</v>
      </c>
      <c r="D95" s="254">
        <v>122068</v>
      </c>
      <c r="E95" s="254">
        <v>128223</v>
      </c>
      <c r="F95" s="254">
        <v>134685</v>
      </c>
      <c r="G95" s="254">
        <v>141483</v>
      </c>
      <c r="I95" s="19"/>
    </row>
    <row r="96" spans="1:9" ht="15" customHeight="1" x14ac:dyDescent="0.25">
      <c r="A96" s="75" t="s">
        <v>227</v>
      </c>
      <c r="B96" s="253" t="s">
        <v>130</v>
      </c>
      <c r="C96" s="254">
        <v>155148</v>
      </c>
      <c r="D96" s="254">
        <v>162973</v>
      </c>
      <c r="E96" s="254">
        <v>171186</v>
      </c>
      <c r="F96" s="254">
        <v>179819</v>
      </c>
      <c r="G96" s="254">
        <v>188891</v>
      </c>
      <c r="I96" s="19"/>
    </row>
    <row r="97" spans="1:9" ht="15" customHeight="1" x14ac:dyDescent="0.25">
      <c r="A97" s="75" t="s">
        <v>228</v>
      </c>
      <c r="B97" s="253" t="s">
        <v>124</v>
      </c>
      <c r="C97" s="254">
        <v>121152</v>
      </c>
      <c r="D97" s="254">
        <v>127257</v>
      </c>
      <c r="E97" s="254">
        <v>133672</v>
      </c>
      <c r="F97" s="254">
        <v>140411</v>
      </c>
      <c r="G97" s="254">
        <v>147491</v>
      </c>
      <c r="I97" s="19"/>
    </row>
    <row r="98" spans="1:9" ht="15" customHeight="1" x14ac:dyDescent="0.25">
      <c r="A98" s="75" t="s">
        <v>229</v>
      </c>
      <c r="B98" s="253" t="s">
        <v>130</v>
      </c>
      <c r="C98" s="254">
        <v>155148</v>
      </c>
      <c r="D98" s="254">
        <v>162973</v>
      </c>
      <c r="E98" s="254">
        <v>171186</v>
      </c>
      <c r="F98" s="254">
        <v>179819</v>
      </c>
      <c r="G98" s="254">
        <v>188891</v>
      </c>
      <c r="I98" s="19"/>
    </row>
    <row r="99" spans="1:9" ht="15" customHeight="1" x14ac:dyDescent="0.25">
      <c r="A99" s="75" t="s">
        <v>230</v>
      </c>
      <c r="B99" s="253" t="s">
        <v>147</v>
      </c>
      <c r="C99" s="254">
        <v>171335</v>
      </c>
      <c r="D99" s="254">
        <v>179972</v>
      </c>
      <c r="E99" s="254">
        <v>189047</v>
      </c>
      <c r="F99" s="254">
        <v>198582</v>
      </c>
      <c r="G99" s="254">
        <v>208593</v>
      </c>
      <c r="I99" s="19"/>
    </row>
    <row r="100" spans="1:9" ht="15" customHeight="1" x14ac:dyDescent="0.25">
      <c r="A100" s="75" t="s">
        <v>231</v>
      </c>
      <c r="B100" s="253" t="s">
        <v>135</v>
      </c>
      <c r="C100" s="254">
        <v>126741</v>
      </c>
      <c r="D100" s="254">
        <v>133128</v>
      </c>
      <c r="E100" s="254">
        <v>139841</v>
      </c>
      <c r="F100" s="254">
        <v>146897</v>
      </c>
      <c r="G100" s="254">
        <v>154301</v>
      </c>
      <c r="I100" s="19"/>
    </row>
    <row r="101" spans="1:9" ht="15" customHeight="1" x14ac:dyDescent="0.25">
      <c r="A101" s="75" t="s">
        <v>232</v>
      </c>
      <c r="B101" s="253" t="s">
        <v>135</v>
      </c>
      <c r="C101" s="254">
        <v>126741</v>
      </c>
      <c r="D101" s="254">
        <v>133128</v>
      </c>
      <c r="E101" s="254">
        <v>139841</v>
      </c>
      <c r="F101" s="254">
        <v>146897</v>
      </c>
      <c r="G101" s="254">
        <v>154301</v>
      </c>
      <c r="I101" s="19"/>
    </row>
    <row r="102" spans="1:9" ht="15" customHeight="1" x14ac:dyDescent="0.25">
      <c r="A102" s="75" t="s">
        <v>233</v>
      </c>
      <c r="B102" s="253" t="s">
        <v>135</v>
      </c>
      <c r="C102" s="254">
        <v>126741</v>
      </c>
      <c r="D102" s="254">
        <v>133128</v>
      </c>
      <c r="E102" s="254">
        <v>139841</v>
      </c>
      <c r="F102" s="254">
        <v>146897</v>
      </c>
      <c r="G102" s="254">
        <v>154301</v>
      </c>
      <c r="I102" s="19"/>
    </row>
    <row r="103" spans="1:9" ht="15" customHeight="1" x14ac:dyDescent="0.25">
      <c r="A103" s="75" t="s">
        <v>234</v>
      </c>
      <c r="B103" s="253" t="s">
        <v>135</v>
      </c>
      <c r="C103" s="254">
        <v>126741</v>
      </c>
      <c r="D103" s="254">
        <v>133128</v>
      </c>
      <c r="E103" s="254">
        <v>139841</v>
      </c>
      <c r="F103" s="254">
        <v>146897</v>
      </c>
      <c r="G103" s="254">
        <v>154301</v>
      </c>
      <c r="I103" s="19"/>
    </row>
    <row r="104" spans="1:9" ht="15" customHeight="1" x14ac:dyDescent="0.25">
      <c r="A104" s="75" t="s">
        <v>235</v>
      </c>
      <c r="B104" s="253" t="s">
        <v>162</v>
      </c>
      <c r="C104" s="254">
        <v>176279</v>
      </c>
      <c r="D104" s="254">
        <v>185166</v>
      </c>
      <c r="E104" s="254">
        <v>194503</v>
      </c>
      <c r="F104" s="254">
        <v>204309</v>
      </c>
      <c r="G104" s="254">
        <v>214609</v>
      </c>
      <c r="I104" s="19"/>
    </row>
    <row r="105" spans="1:9" ht="15" customHeight="1" x14ac:dyDescent="0.25">
      <c r="A105" s="75" t="s">
        <v>236</v>
      </c>
      <c r="B105" s="253" t="s">
        <v>135</v>
      </c>
      <c r="C105" s="254">
        <v>126741</v>
      </c>
      <c r="D105" s="254">
        <v>133128</v>
      </c>
      <c r="E105" s="254">
        <v>139841</v>
      </c>
      <c r="F105" s="254">
        <v>146897</v>
      </c>
      <c r="G105" s="254">
        <v>154301</v>
      </c>
      <c r="I105" s="19"/>
    </row>
    <row r="106" spans="1:9" ht="15" customHeight="1" x14ac:dyDescent="0.25">
      <c r="A106" s="75" t="s">
        <v>237</v>
      </c>
      <c r="B106" s="253" t="s">
        <v>135</v>
      </c>
      <c r="C106" s="254">
        <v>126741</v>
      </c>
      <c r="D106" s="254">
        <v>133128</v>
      </c>
      <c r="E106" s="254">
        <v>139841</v>
      </c>
      <c r="F106" s="254">
        <v>146897</v>
      </c>
      <c r="G106" s="254">
        <v>154301</v>
      </c>
      <c r="I106" s="19"/>
    </row>
    <row r="107" spans="1:9" ht="15" customHeight="1" x14ac:dyDescent="0.25">
      <c r="A107" s="75" t="s">
        <v>238</v>
      </c>
      <c r="B107" s="253" t="s">
        <v>130</v>
      </c>
      <c r="C107" s="254">
        <v>155148</v>
      </c>
      <c r="D107" s="254">
        <v>162973</v>
      </c>
      <c r="E107" s="254">
        <v>171186</v>
      </c>
      <c r="F107" s="254">
        <v>179819</v>
      </c>
      <c r="G107" s="254">
        <v>188891</v>
      </c>
      <c r="I107" s="19"/>
    </row>
    <row r="108" spans="1:9" ht="15" customHeight="1" x14ac:dyDescent="0.25">
      <c r="A108" s="75" t="s">
        <v>239</v>
      </c>
      <c r="B108" s="253" t="s">
        <v>135</v>
      </c>
      <c r="C108" s="254">
        <v>126741</v>
      </c>
      <c r="D108" s="254">
        <v>133128</v>
      </c>
      <c r="E108" s="254">
        <v>139841</v>
      </c>
      <c r="F108" s="254">
        <v>146897</v>
      </c>
      <c r="G108" s="254">
        <v>154301</v>
      </c>
      <c r="I108" s="19"/>
    </row>
    <row r="109" spans="1:9" ht="15" customHeight="1" x14ac:dyDescent="0.25">
      <c r="A109" s="75" t="s">
        <v>240</v>
      </c>
      <c r="B109" s="253" t="s">
        <v>120</v>
      </c>
      <c r="C109" s="254">
        <v>116211</v>
      </c>
      <c r="D109" s="254">
        <v>122068</v>
      </c>
      <c r="E109" s="254">
        <v>128223</v>
      </c>
      <c r="F109" s="254">
        <v>134685</v>
      </c>
      <c r="G109" s="254">
        <v>141483</v>
      </c>
      <c r="I109" s="19"/>
    </row>
    <row r="110" spans="1:9" ht="15" customHeight="1" x14ac:dyDescent="0.25">
      <c r="A110" s="75" t="s">
        <v>241</v>
      </c>
      <c r="B110" s="253" t="s">
        <v>135</v>
      </c>
      <c r="C110" s="254">
        <v>126741</v>
      </c>
      <c r="D110" s="254">
        <v>133128</v>
      </c>
      <c r="E110" s="254">
        <v>139841</v>
      </c>
      <c r="F110" s="254">
        <v>146897</v>
      </c>
      <c r="G110" s="254">
        <v>154301</v>
      </c>
      <c r="I110" s="19"/>
    </row>
    <row r="111" spans="1:9" x14ac:dyDescent="0.25">
      <c r="A111" s="75" t="s">
        <v>242</v>
      </c>
      <c r="B111" s="253" t="s">
        <v>135</v>
      </c>
      <c r="C111" s="254">
        <v>126741</v>
      </c>
      <c r="D111" s="254">
        <v>133128</v>
      </c>
      <c r="E111" s="254">
        <v>139841</v>
      </c>
      <c r="F111" s="254">
        <v>146897</v>
      </c>
      <c r="G111" s="254">
        <v>154301</v>
      </c>
      <c r="I111" s="19"/>
    </row>
    <row r="112" spans="1:9" x14ac:dyDescent="0.25">
      <c r="A112" s="75" t="s">
        <v>243</v>
      </c>
      <c r="B112" s="253" t="s">
        <v>162</v>
      </c>
      <c r="C112" s="254">
        <v>176279</v>
      </c>
      <c r="D112" s="254">
        <v>185166</v>
      </c>
      <c r="E112" s="254">
        <v>194503</v>
      </c>
      <c r="F112" s="254">
        <v>204309</v>
      </c>
      <c r="G112" s="254">
        <v>214609</v>
      </c>
      <c r="I112" s="19"/>
    </row>
    <row r="113" spans="1:9" x14ac:dyDescent="0.25">
      <c r="A113" s="75" t="s">
        <v>244</v>
      </c>
      <c r="B113" s="253" t="s">
        <v>147</v>
      </c>
      <c r="C113" s="254">
        <v>171335</v>
      </c>
      <c r="D113" s="254">
        <v>179972</v>
      </c>
      <c r="E113" s="254">
        <v>189047</v>
      </c>
      <c r="F113" s="254">
        <v>198582</v>
      </c>
      <c r="G113" s="254">
        <v>208593</v>
      </c>
      <c r="I113" s="19"/>
    </row>
    <row r="114" spans="1:9" x14ac:dyDescent="0.25">
      <c r="A114" s="75" t="s">
        <v>245</v>
      </c>
      <c r="B114" s="253" t="s">
        <v>128</v>
      </c>
      <c r="C114" s="254">
        <v>107497</v>
      </c>
      <c r="D114" s="254">
        <v>112919</v>
      </c>
      <c r="E114" s="254">
        <v>118616</v>
      </c>
      <c r="F114" s="254">
        <v>124593</v>
      </c>
      <c r="G114" s="254">
        <v>130878</v>
      </c>
      <c r="I114" s="19"/>
    </row>
    <row r="115" spans="1:9" x14ac:dyDescent="0.25">
      <c r="A115" s="75" t="s">
        <v>246</v>
      </c>
      <c r="B115" s="253" t="s">
        <v>162</v>
      </c>
      <c r="C115" s="254">
        <v>176279</v>
      </c>
      <c r="D115" s="254">
        <v>185166</v>
      </c>
      <c r="E115" s="254">
        <v>194503</v>
      </c>
      <c r="F115" s="254">
        <v>204309</v>
      </c>
      <c r="G115" s="254">
        <v>214609</v>
      </c>
      <c r="I115" s="19"/>
    </row>
    <row r="116" spans="1:9" x14ac:dyDescent="0.25">
      <c r="A116" s="75" t="s">
        <v>247</v>
      </c>
      <c r="B116" s="253" t="s">
        <v>135</v>
      </c>
      <c r="C116" s="254">
        <v>126741</v>
      </c>
      <c r="D116" s="254">
        <v>133128</v>
      </c>
      <c r="E116" s="254">
        <v>139841</v>
      </c>
      <c r="F116" s="254">
        <v>146897</v>
      </c>
      <c r="G116" s="254">
        <v>154301</v>
      </c>
      <c r="I116" s="19"/>
    </row>
    <row r="117" spans="1:9" x14ac:dyDescent="0.25">
      <c r="A117" s="75" t="s">
        <v>248</v>
      </c>
      <c r="B117" s="253" t="s">
        <v>135</v>
      </c>
      <c r="C117" s="254">
        <v>126741</v>
      </c>
      <c r="D117" s="254">
        <v>133128</v>
      </c>
      <c r="E117" s="254">
        <v>139841</v>
      </c>
      <c r="F117" s="254">
        <v>146897</v>
      </c>
      <c r="G117" s="254">
        <v>154301</v>
      </c>
      <c r="I117" s="19"/>
    </row>
    <row r="118" spans="1:9" x14ac:dyDescent="0.25">
      <c r="A118" s="75" t="s">
        <v>249</v>
      </c>
      <c r="B118" s="253" t="s">
        <v>120</v>
      </c>
      <c r="C118" s="254">
        <v>116211</v>
      </c>
      <c r="D118" s="254">
        <v>122068</v>
      </c>
      <c r="E118" s="254">
        <v>128223</v>
      </c>
      <c r="F118" s="254">
        <v>134685</v>
      </c>
      <c r="G118" s="254">
        <v>141483</v>
      </c>
      <c r="I118" s="19"/>
    </row>
    <row r="119" spans="1:9" x14ac:dyDescent="0.25">
      <c r="A119" s="75" t="s">
        <v>250</v>
      </c>
      <c r="B119" s="253" t="s">
        <v>130</v>
      </c>
      <c r="C119" s="254">
        <v>155148</v>
      </c>
      <c r="D119" s="254">
        <v>162973</v>
      </c>
      <c r="E119" s="254">
        <v>171186</v>
      </c>
      <c r="F119" s="254">
        <v>179819</v>
      </c>
      <c r="G119" s="254">
        <v>188891</v>
      </c>
      <c r="I119" s="19"/>
    </row>
    <row r="120" spans="1:9" x14ac:dyDescent="0.25">
      <c r="A120" s="75" t="s">
        <v>251</v>
      </c>
      <c r="B120" s="253" t="s">
        <v>130</v>
      </c>
      <c r="C120" s="254">
        <v>155148</v>
      </c>
      <c r="D120" s="254">
        <v>162973</v>
      </c>
      <c r="E120" s="254">
        <v>171186</v>
      </c>
      <c r="F120" s="254">
        <v>179819</v>
      </c>
      <c r="G120" s="254">
        <v>188891</v>
      </c>
      <c r="I120" s="19"/>
    </row>
    <row r="121" spans="1:9" x14ac:dyDescent="0.25">
      <c r="A121" s="75" t="s">
        <v>252</v>
      </c>
      <c r="B121" s="253" t="s">
        <v>120</v>
      </c>
      <c r="C121" s="254">
        <v>116211</v>
      </c>
      <c r="D121" s="254">
        <v>122068</v>
      </c>
      <c r="E121" s="254">
        <v>128223</v>
      </c>
      <c r="F121" s="254">
        <v>134685</v>
      </c>
      <c r="G121" s="254">
        <v>141483</v>
      </c>
      <c r="I121" s="19"/>
    </row>
    <row r="122" spans="1:9" x14ac:dyDescent="0.25">
      <c r="A122" s="75" t="s">
        <v>253</v>
      </c>
      <c r="B122" s="253" t="s">
        <v>135</v>
      </c>
      <c r="C122" s="254">
        <v>126741</v>
      </c>
      <c r="D122" s="254">
        <v>133128</v>
      </c>
      <c r="E122" s="254">
        <v>139841</v>
      </c>
      <c r="F122" s="254">
        <v>146897</v>
      </c>
      <c r="G122" s="254">
        <v>154301</v>
      </c>
      <c r="I122" s="19"/>
    </row>
    <row r="123" spans="1:9" x14ac:dyDescent="0.25">
      <c r="A123" s="75" t="s">
        <v>254</v>
      </c>
      <c r="B123" s="253" t="s">
        <v>135</v>
      </c>
      <c r="C123" s="254">
        <v>126741</v>
      </c>
      <c r="D123" s="254">
        <v>133128</v>
      </c>
      <c r="E123" s="254">
        <v>139841</v>
      </c>
      <c r="F123" s="254">
        <v>146897</v>
      </c>
      <c r="G123" s="254">
        <v>154301</v>
      </c>
    </row>
    <row r="124" spans="1:9" x14ac:dyDescent="0.25">
      <c r="A124" s="75" t="s">
        <v>255</v>
      </c>
      <c r="B124" s="253" t="s">
        <v>120</v>
      </c>
      <c r="C124" s="254">
        <v>116211</v>
      </c>
      <c r="D124" s="254">
        <v>122068</v>
      </c>
      <c r="E124" s="254">
        <v>128223</v>
      </c>
      <c r="F124" s="254">
        <v>134685</v>
      </c>
      <c r="G124" s="254">
        <v>141483</v>
      </c>
    </row>
    <row r="125" spans="1:9" x14ac:dyDescent="0.25">
      <c r="A125" s="75" t="s">
        <v>256</v>
      </c>
      <c r="B125" s="253" t="s">
        <v>120</v>
      </c>
      <c r="C125" s="254">
        <v>116211</v>
      </c>
      <c r="D125" s="254">
        <v>122068</v>
      </c>
      <c r="E125" s="254">
        <v>128223</v>
      </c>
      <c r="F125" s="254">
        <v>134685</v>
      </c>
      <c r="G125" s="254">
        <v>141483</v>
      </c>
    </row>
    <row r="126" spans="1:9" x14ac:dyDescent="0.25">
      <c r="A126" s="75" t="s">
        <v>257</v>
      </c>
      <c r="B126" s="253" t="s">
        <v>135</v>
      </c>
      <c r="C126" s="254">
        <v>126741</v>
      </c>
      <c r="D126" s="254">
        <v>133128</v>
      </c>
      <c r="E126" s="254">
        <v>139841</v>
      </c>
      <c r="F126" s="254">
        <v>146897</v>
      </c>
      <c r="G126" s="254">
        <v>154301</v>
      </c>
    </row>
    <row r="127" spans="1:9" x14ac:dyDescent="0.25">
      <c r="A127" s="75" t="s">
        <v>258</v>
      </c>
      <c r="B127" s="253" t="s">
        <v>118</v>
      </c>
      <c r="C127" s="254">
        <v>132718</v>
      </c>
      <c r="D127" s="254">
        <v>139410</v>
      </c>
      <c r="E127" s="254">
        <v>146438</v>
      </c>
      <c r="F127" s="254">
        <v>153821</v>
      </c>
      <c r="G127" s="254">
        <v>161580</v>
      </c>
    </row>
    <row r="128" spans="1:9" x14ac:dyDescent="0.25">
      <c r="A128" s="75" t="s">
        <v>259</v>
      </c>
      <c r="B128" s="253" t="s">
        <v>135</v>
      </c>
      <c r="C128" s="254">
        <v>126741</v>
      </c>
      <c r="D128" s="254">
        <v>133128</v>
      </c>
      <c r="E128" s="254">
        <v>139841</v>
      </c>
      <c r="F128" s="254">
        <v>146897</v>
      </c>
      <c r="G128" s="254">
        <v>154301</v>
      </c>
    </row>
    <row r="129" spans="1:8" x14ac:dyDescent="0.25">
      <c r="A129" s="75" t="s">
        <v>260</v>
      </c>
      <c r="B129" s="253" t="s">
        <v>261</v>
      </c>
      <c r="C129" s="254">
        <v>187733</v>
      </c>
      <c r="D129" s="254">
        <v>197197</v>
      </c>
      <c r="E129" s="254">
        <v>207142</v>
      </c>
      <c r="F129" s="254">
        <v>217586</v>
      </c>
      <c r="G129" s="254">
        <v>228554</v>
      </c>
    </row>
    <row r="130" spans="1:8" x14ac:dyDescent="0.25">
      <c r="A130" s="75" t="s">
        <v>262</v>
      </c>
      <c r="B130" s="253" t="s">
        <v>137</v>
      </c>
      <c r="C130" s="254">
        <v>111661</v>
      </c>
      <c r="D130" s="254">
        <v>117290</v>
      </c>
      <c r="E130" s="254">
        <v>123205</v>
      </c>
      <c r="F130" s="254">
        <v>129416</v>
      </c>
      <c r="G130" s="254">
        <v>135942</v>
      </c>
    </row>
    <row r="131" spans="1:8" x14ac:dyDescent="0.25">
      <c r="A131" s="75" t="s">
        <v>263</v>
      </c>
      <c r="B131" s="253" t="s">
        <v>135</v>
      </c>
      <c r="C131" s="254">
        <v>126741</v>
      </c>
      <c r="D131" s="254">
        <v>133128</v>
      </c>
      <c r="E131" s="254">
        <v>139841</v>
      </c>
      <c r="F131" s="254">
        <v>146897</v>
      </c>
      <c r="G131" s="254">
        <v>154301</v>
      </c>
    </row>
    <row r="132" spans="1:8" x14ac:dyDescent="0.25">
      <c r="A132" s="75" t="s">
        <v>264</v>
      </c>
      <c r="B132" s="253" t="s">
        <v>135</v>
      </c>
      <c r="C132" s="254">
        <v>126741</v>
      </c>
      <c r="D132" s="254">
        <v>133128</v>
      </c>
      <c r="E132" s="254">
        <v>139841</v>
      </c>
      <c r="F132" s="254">
        <v>146897</v>
      </c>
      <c r="G132" s="254">
        <v>154301</v>
      </c>
    </row>
    <row r="133" spans="1:8" x14ac:dyDescent="0.25">
      <c r="A133" s="75" t="s">
        <v>265</v>
      </c>
      <c r="B133" s="253" t="s">
        <v>178</v>
      </c>
      <c r="C133" s="254">
        <v>166842</v>
      </c>
      <c r="D133" s="254">
        <v>175258</v>
      </c>
      <c r="E133" s="254">
        <v>184090</v>
      </c>
      <c r="F133" s="254">
        <v>193372</v>
      </c>
      <c r="G133" s="254">
        <v>203125</v>
      </c>
    </row>
    <row r="134" spans="1:8" x14ac:dyDescent="0.25">
      <c r="A134" s="75" t="s">
        <v>266</v>
      </c>
      <c r="B134" s="253" t="s">
        <v>178</v>
      </c>
      <c r="C134" s="254">
        <v>166842</v>
      </c>
      <c r="D134" s="254">
        <v>175258</v>
      </c>
      <c r="E134" s="254">
        <v>184090</v>
      </c>
      <c r="F134" s="254">
        <v>193372</v>
      </c>
      <c r="G134" s="254">
        <v>203125</v>
      </c>
    </row>
    <row r="135" spans="1:8" x14ac:dyDescent="0.25">
      <c r="A135" s="75" t="s">
        <v>267</v>
      </c>
      <c r="B135" s="253" t="s">
        <v>118</v>
      </c>
      <c r="C135" s="254">
        <v>132718</v>
      </c>
      <c r="D135" s="254">
        <v>139410</v>
      </c>
      <c r="E135" s="254">
        <v>146438</v>
      </c>
      <c r="F135" s="254">
        <v>153821</v>
      </c>
      <c r="G135" s="254">
        <v>161580</v>
      </c>
    </row>
    <row r="136" spans="1:8" x14ac:dyDescent="0.25">
      <c r="A136" s="75" t="s">
        <v>268</v>
      </c>
      <c r="B136" s="253" t="s">
        <v>118</v>
      </c>
      <c r="C136" s="254">
        <v>132718</v>
      </c>
      <c r="D136" s="254">
        <v>139410</v>
      </c>
      <c r="E136" s="254">
        <v>146438</v>
      </c>
      <c r="F136" s="254">
        <v>153821</v>
      </c>
      <c r="G136" s="254">
        <v>161580</v>
      </c>
    </row>
    <row r="137" spans="1:8" x14ac:dyDescent="0.25">
      <c r="A137" s="75" t="s">
        <v>269</v>
      </c>
      <c r="B137" s="253" t="s">
        <v>130</v>
      </c>
      <c r="C137" s="254">
        <v>155148</v>
      </c>
      <c r="D137" s="254">
        <v>162973</v>
      </c>
      <c r="E137" s="254">
        <v>171186</v>
      </c>
      <c r="F137" s="254">
        <v>179819</v>
      </c>
      <c r="G137" s="254">
        <v>188891</v>
      </c>
    </row>
    <row r="138" spans="1:8" x14ac:dyDescent="0.25">
      <c r="A138" s="75" t="s">
        <v>270</v>
      </c>
      <c r="B138" s="253" t="s">
        <v>130</v>
      </c>
      <c r="C138" s="254">
        <v>155148</v>
      </c>
      <c r="D138" s="254">
        <v>162973</v>
      </c>
      <c r="E138" s="254">
        <v>171186</v>
      </c>
      <c r="F138" s="254">
        <v>179819</v>
      </c>
      <c r="G138" s="254">
        <v>188891</v>
      </c>
      <c r="H138" s="255"/>
    </row>
    <row r="139" spans="1:8" x14ac:dyDescent="0.25">
      <c r="A139" s="75" t="s">
        <v>271</v>
      </c>
      <c r="B139" s="253" t="s">
        <v>261</v>
      </c>
      <c r="C139" s="254">
        <v>187733</v>
      </c>
      <c r="D139" s="254">
        <v>197197</v>
      </c>
      <c r="E139" s="254">
        <v>207142</v>
      </c>
      <c r="F139" s="254">
        <v>217586</v>
      </c>
      <c r="G139" s="254">
        <v>228554</v>
      </c>
    </row>
    <row r="140" spans="1:8" x14ac:dyDescent="0.25">
      <c r="A140" s="75" t="s">
        <v>272</v>
      </c>
      <c r="B140" s="253" t="s">
        <v>118</v>
      </c>
      <c r="C140" s="254">
        <v>132718</v>
      </c>
      <c r="D140" s="254">
        <v>139410</v>
      </c>
      <c r="E140" s="254">
        <v>146438</v>
      </c>
      <c r="F140" s="254">
        <v>153821</v>
      </c>
      <c r="G140" s="254">
        <v>161580</v>
      </c>
    </row>
    <row r="141" spans="1:8" x14ac:dyDescent="0.25">
      <c r="A141" s="75" t="s">
        <v>273</v>
      </c>
      <c r="B141" s="253" t="s">
        <v>149</v>
      </c>
      <c r="C141" s="254">
        <v>194392</v>
      </c>
      <c r="D141" s="254">
        <v>204195</v>
      </c>
      <c r="E141" s="254">
        <v>214492</v>
      </c>
      <c r="F141" s="254">
        <v>225303</v>
      </c>
      <c r="G141" s="254">
        <v>236667</v>
      </c>
    </row>
    <row r="142" spans="1:8" x14ac:dyDescent="0.25">
      <c r="A142" s="75" t="s">
        <v>274</v>
      </c>
      <c r="B142" s="253" t="s">
        <v>122</v>
      </c>
      <c r="C142" s="254">
        <v>82117</v>
      </c>
      <c r="D142" s="254">
        <v>86255</v>
      </c>
      <c r="E142" s="254">
        <v>90604</v>
      </c>
      <c r="F142" s="254">
        <v>95177</v>
      </c>
      <c r="G142" s="254">
        <v>99971</v>
      </c>
    </row>
    <row r="143" spans="1:8" x14ac:dyDescent="0.25">
      <c r="A143" s="75" t="s">
        <v>275</v>
      </c>
      <c r="B143" s="253" t="s">
        <v>120</v>
      </c>
      <c r="C143" s="254">
        <v>116211</v>
      </c>
      <c r="D143" s="254">
        <v>122068</v>
      </c>
      <c r="E143" s="254">
        <v>128223</v>
      </c>
      <c r="F143" s="254">
        <v>134685</v>
      </c>
      <c r="G143" s="254">
        <v>141483</v>
      </c>
    </row>
    <row r="144" spans="1:8" x14ac:dyDescent="0.25">
      <c r="A144" s="75" t="s">
        <v>276</v>
      </c>
      <c r="B144" s="253" t="s">
        <v>135</v>
      </c>
      <c r="C144" s="254">
        <v>126741</v>
      </c>
      <c r="D144" s="254">
        <v>133128</v>
      </c>
      <c r="E144" s="254">
        <v>139841</v>
      </c>
      <c r="F144" s="254">
        <v>146897</v>
      </c>
      <c r="G144" s="254">
        <v>154301</v>
      </c>
    </row>
    <row r="145" spans="1:7" x14ac:dyDescent="0.25">
      <c r="A145" s="75" t="s">
        <v>277</v>
      </c>
      <c r="B145" s="253" t="s">
        <v>120</v>
      </c>
      <c r="C145" s="254">
        <v>116211</v>
      </c>
      <c r="D145" s="254">
        <v>122068</v>
      </c>
      <c r="E145" s="254">
        <v>128223</v>
      </c>
      <c r="F145" s="254">
        <v>134685</v>
      </c>
      <c r="G145" s="254">
        <v>141483</v>
      </c>
    </row>
    <row r="146" spans="1:7" x14ac:dyDescent="0.25">
      <c r="A146" s="75" t="s">
        <v>278</v>
      </c>
      <c r="B146" s="253" t="s">
        <v>124</v>
      </c>
      <c r="C146" s="254">
        <v>121152</v>
      </c>
      <c r="D146" s="254">
        <v>127257</v>
      </c>
      <c r="E146" s="254">
        <v>133672</v>
      </c>
      <c r="F146" s="254">
        <v>140411</v>
      </c>
      <c r="G146" s="254">
        <v>147491</v>
      </c>
    </row>
    <row r="147" spans="1:7" x14ac:dyDescent="0.25">
      <c r="A147" s="75" t="s">
        <v>279</v>
      </c>
      <c r="B147" s="253" t="s">
        <v>124</v>
      </c>
      <c r="C147" s="254">
        <v>121152</v>
      </c>
      <c r="D147" s="254">
        <v>127257</v>
      </c>
      <c r="E147" s="254">
        <v>133672</v>
      </c>
      <c r="F147" s="254">
        <v>140411</v>
      </c>
      <c r="G147" s="254">
        <v>147491</v>
      </c>
    </row>
    <row r="148" spans="1:7" x14ac:dyDescent="0.25">
      <c r="A148" s="75" t="s">
        <v>280</v>
      </c>
      <c r="B148" s="253" t="s">
        <v>126</v>
      </c>
      <c r="C148" s="254">
        <v>103727</v>
      </c>
      <c r="D148" s="254">
        <v>108961</v>
      </c>
      <c r="E148" s="254">
        <v>114454</v>
      </c>
      <c r="F148" s="254">
        <v>120224</v>
      </c>
      <c r="G148" s="254">
        <v>126287</v>
      </c>
    </row>
    <row r="149" spans="1:7" x14ac:dyDescent="0.25">
      <c r="A149" s="75" t="s">
        <v>281</v>
      </c>
      <c r="B149" s="253" t="s">
        <v>126</v>
      </c>
      <c r="C149" s="254">
        <v>103727</v>
      </c>
      <c r="D149" s="254">
        <v>108961</v>
      </c>
      <c r="E149" s="254">
        <v>114454</v>
      </c>
      <c r="F149" s="254">
        <v>120224</v>
      </c>
      <c r="G149" s="254">
        <v>126287</v>
      </c>
    </row>
    <row r="150" spans="1:7" x14ac:dyDescent="0.25">
      <c r="A150" s="75" t="s">
        <v>282</v>
      </c>
      <c r="B150" s="253" t="s">
        <v>124</v>
      </c>
      <c r="C150" s="254">
        <v>121152</v>
      </c>
      <c r="D150" s="254">
        <v>127257</v>
      </c>
      <c r="E150" s="254">
        <v>133672</v>
      </c>
      <c r="F150" s="254">
        <v>140411</v>
      </c>
      <c r="G150" s="254">
        <v>147491</v>
      </c>
    </row>
    <row r="151" spans="1:7" x14ac:dyDescent="0.25">
      <c r="A151" s="75" t="s">
        <v>283</v>
      </c>
      <c r="B151" s="253" t="s">
        <v>124</v>
      </c>
      <c r="C151" s="254">
        <v>121152</v>
      </c>
      <c r="D151" s="254">
        <v>127257</v>
      </c>
      <c r="E151" s="254">
        <v>133672</v>
      </c>
      <c r="F151" s="254">
        <v>140411</v>
      </c>
      <c r="G151" s="254">
        <v>147491</v>
      </c>
    </row>
    <row r="152" spans="1:7" x14ac:dyDescent="0.25">
      <c r="A152" s="75" t="s">
        <v>284</v>
      </c>
      <c r="B152" s="253" t="s">
        <v>126</v>
      </c>
      <c r="C152" s="254">
        <v>103727</v>
      </c>
      <c r="D152" s="254">
        <v>108961</v>
      </c>
      <c r="E152" s="254">
        <v>114454</v>
      </c>
      <c r="F152" s="254">
        <v>120224</v>
      </c>
      <c r="G152" s="254">
        <v>126287</v>
      </c>
    </row>
    <row r="153" spans="1:7" x14ac:dyDescent="0.25">
      <c r="A153" s="75" t="s">
        <v>285</v>
      </c>
      <c r="B153" s="253" t="s">
        <v>120</v>
      </c>
      <c r="C153" s="254">
        <v>116211</v>
      </c>
      <c r="D153" s="254">
        <v>122068</v>
      </c>
      <c r="E153" s="254">
        <v>128223</v>
      </c>
      <c r="F153" s="254">
        <v>134685</v>
      </c>
      <c r="G153" s="254">
        <v>141483</v>
      </c>
    </row>
    <row r="154" spans="1:7" x14ac:dyDescent="0.25">
      <c r="A154" s="75" t="s">
        <v>286</v>
      </c>
      <c r="B154" s="253" t="s">
        <v>118</v>
      </c>
      <c r="C154" s="254">
        <v>132718</v>
      </c>
      <c r="D154" s="254">
        <v>139410</v>
      </c>
      <c r="E154" s="254">
        <v>146438</v>
      </c>
      <c r="F154" s="254">
        <v>153821</v>
      </c>
      <c r="G154" s="254">
        <v>161580</v>
      </c>
    </row>
    <row r="155" spans="1:7" x14ac:dyDescent="0.25">
      <c r="A155" s="75" t="s">
        <v>287</v>
      </c>
      <c r="B155" s="253" t="s">
        <v>120</v>
      </c>
      <c r="C155" s="254">
        <v>116211</v>
      </c>
      <c r="D155" s="254">
        <v>122068</v>
      </c>
      <c r="E155" s="254">
        <v>128223</v>
      </c>
      <c r="F155" s="254">
        <v>134685</v>
      </c>
      <c r="G155" s="254">
        <v>141483</v>
      </c>
    </row>
    <row r="156" spans="1:7" x14ac:dyDescent="0.25">
      <c r="A156" s="75" t="s">
        <v>288</v>
      </c>
      <c r="B156" s="253" t="s">
        <v>120</v>
      </c>
      <c r="C156" s="254">
        <v>116211</v>
      </c>
      <c r="D156" s="254">
        <v>122068</v>
      </c>
      <c r="E156" s="254">
        <v>128223</v>
      </c>
      <c r="F156" s="254">
        <v>134685</v>
      </c>
      <c r="G156" s="254">
        <v>141483</v>
      </c>
    </row>
    <row r="157" spans="1:7" x14ac:dyDescent="0.25">
      <c r="A157" s="75" t="s">
        <v>289</v>
      </c>
      <c r="B157" s="253" t="s">
        <v>118</v>
      </c>
      <c r="C157" s="254">
        <v>132718</v>
      </c>
      <c r="D157" s="254">
        <v>139410</v>
      </c>
      <c r="E157" s="254">
        <v>146438</v>
      </c>
      <c r="F157" s="254">
        <v>153821</v>
      </c>
      <c r="G157" s="254">
        <v>161580</v>
      </c>
    </row>
    <row r="158" spans="1:7" x14ac:dyDescent="0.25">
      <c r="A158" s="75" t="s">
        <v>290</v>
      </c>
      <c r="B158" s="253" t="s">
        <v>128</v>
      </c>
      <c r="C158" s="254">
        <v>107497</v>
      </c>
      <c r="D158" s="254">
        <v>112919</v>
      </c>
      <c r="E158" s="254">
        <v>118616</v>
      </c>
      <c r="F158" s="254">
        <v>124593</v>
      </c>
      <c r="G158" s="254">
        <v>130878</v>
      </c>
    </row>
    <row r="159" spans="1:7" x14ac:dyDescent="0.25">
      <c r="A159" s="75" t="s">
        <v>291</v>
      </c>
      <c r="B159" s="253" t="s">
        <v>126</v>
      </c>
      <c r="C159" s="254">
        <v>103727</v>
      </c>
      <c r="D159" s="254">
        <v>108961</v>
      </c>
      <c r="E159" s="254">
        <v>114454</v>
      </c>
      <c r="F159" s="254">
        <v>120224</v>
      </c>
      <c r="G159" s="254">
        <v>126287</v>
      </c>
    </row>
    <row r="160" spans="1:7" x14ac:dyDescent="0.25">
      <c r="A160" s="75" t="s">
        <v>292</v>
      </c>
      <c r="B160" s="253" t="s">
        <v>156</v>
      </c>
      <c r="C160" s="254">
        <v>86438</v>
      </c>
      <c r="D160" s="254">
        <v>90798</v>
      </c>
      <c r="E160" s="254">
        <v>95376</v>
      </c>
      <c r="F160" s="254">
        <v>100184</v>
      </c>
      <c r="G160" s="254">
        <v>105235</v>
      </c>
    </row>
    <row r="161" spans="1:7" x14ac:dyDescent="0.25">
      <c r="A161" s="75" t="s">
        <v>293</v>
      </c>
      <c r="B161" s="253" t="s">
        <v>137</v>
      </c>
      <c r="C161" s="254">
        <v>111661</v>
      </c>
      <c r="D161" s="254">
        <v>117290</v>
      </c>
      <c r="E161" s="254">
        <v>123205</v>
      </c>
      <c r="F161" s="254">
        <v>129416</v>
      </c>
      <c r="G161" s="254">
        <v>135942</v>
      </c>
    </row>
    <row r="162" spans="1:7" x14ac:dyDescent="0.25">
      <c r="A162" s="75" t="s">
        <v>294</v>
      </c>
      <c r="B162" s="253" t="s">
        <v>135</v>
      </c>
      <c r="C162" s="254">
        <v>126741</v>
      </c>
      <c r="D162" s="254">
        <v>133128</v>
      </c>
      <c r="E162" s="254">
        <v>139841</v>
      </c>
      <c r="F162" s="254">
        <v>146897</v>
      </c>
      <c r="G162" s="254">
        <v>154301</v>
      </c>
    </row>
    <row r="163" spans="1:7" x14ac:dyDescent="0.25">
      <c r="A163" s="75" t="s">
        <v>295</v>
      </c>
      <c r="B163" s="253" t="s">
        <v>135</v>
      </c>
      <c r="C163" s="254">
        <v>126741</v>
      </c>
      <c r="D163" s="254">
        <v>133128</v>
      </c>
      <c r="E163" s="254">
        <v>139841</v>
      </c>
      <c r="F163" s="254">
        <v>146897</v>
      </c>
      <c r="G163" s="254">
        <v>154301</v>
      </c>
    </row>
    <row r="164" spans="1:7" x14ac:dyDescent="0.25">
      <c r="A164" s="75" t="s">
        <v>296</v>
      </c>
      <c r="B164" s="253" t="s">
        <v>124</v>
      </c>
      <c r="C164" s="254">
        <v>121152</v>
      </c>
      <c r="D164" s="254">
        <v>127257</v>
      </c>
      <c r="E164" s="254">
        <v>133672</v>
      </c>
      <c r="F164" s="254">
        <v>140411</v>
      </c>
      <c r="G164" s="254">
        <v>147491</v>
      </c>
    </row>
    <row r="165" spans="1:7" x14ac:dyDescent="0.25">
      <c r="A165" s="75" t="s">
        <v>297</v>
      </c>
      <c r="B165" s="253" t="s">
        <v>137</v>
      </c>
      <c r="C165" s="254">
        <v>111661</v>
      </c>
      <c r="D165" s="254">
        <v>117290</v>
      </c>
      <c r="E165" s="254">
        <v>123205</v>
      </c>
      <c r="F165" s="254">
        <v>129416</v>
      </c>
      <c r="G165" s="254">
        <v>135942</v>
      </c>
    </row>
    <row r="166" spans="1:7" x14ac:dyDescent="0.25">
      <c r="A166" s="75" t="s">
        <v>298</v>
      </c>
      <c r="B166" s="253" t="s">
        <v>120</v>
      </c>
      <c r="C166" s="254">
        <v>116211</v>
      </c>
      <c r="D166" s="254">
        <v>122068</v>
      </c>
      <c r="E166" s="254">
        <v>128223</v>
      </c>
      <c r="F166" s="254">
        <v>134685</v>
      </c>
      <c r="G166" s="254">
        <v>141483</v>
      </c>
    </row>
    <row r="167" spans="1:7" x14ac:dyDescent="0.25">
      <c r="A167" s="75" t="s">
        <v>299</v>
      </c>
      <c r="B167" s="253" t="s">
        <v>120</v>
      </c>
      <c r="C167" s="254">
        <v>116211</v>
      </c>
      <c r="D167" s="254">
        <v>122068</v>
      </c>
      <c r="E167" s="254">
        <v>128223</v>
      </c>
      <c r="F167" s="254">
        <v>134685</v>
      </c>
      <c r="G167" s="254">
        <v>141483</v>
      </c>
    </row>
    <row r="168" spans="1:7" x14ac:dyDescent="0.25">
      <c r="A168" s="75" t="s">
        <v>300</v>
      </c>
      <c r="B168" s="253" t="s">
        <v>135</v>
      </c>
      <c r="C168" s="254">
        <v>126741</v>
      </c>
      <c r="D168" s="254">
        <v>133128</v>
      </c>
      <c r="E168" s="254">
        <v>139841</v>
      </c>
      <c r="F168" s="254">
        <v>146897</v>
      </c>
      <c r="G168" s="254">
        <v>154301</v>
      </c>
    </row>
    <row r="169" spans="1:7" x14ac:dyDescent="0.25">
      <c r="A169" s="75" t="s">
        <v>301</v>
      </c>
      <c r="B169" s="253" t="s">
        <v>120</v>
      </c>
      <c r="C169" s="254">
        <v>116211</v>
      </c>
      <c r="D169" s="254">
        <v>122068</v>
      </c>
      <c r="E169" s="254">
        <v>128223</v>
      </c>
      <c r="F169" s="254">
        <v>134685</v>
      </c>
      <c r="G169" s="254">
        <v>141483</v>
      </c>
    </row>
    <row r="170" spans="1:7" x14ac:dyDescent="0.25">
      <c r="A170" s="75" t="s">
        <v>302</v>
      </c>
      <c r="B170" s="253" t="s">
        <v>120</v>
      </c>
      <c r="C170" s="254">
        <v>116211</v>
      </c>
      <c r="D170" s="254">
        <v>122068</v>
      </c>
      <c r="E170" s="254">
        <v>128223</v>
      </c>
      <c r="F170" s="254">
        <v>134685</v>
      </c>
      <c r="G170" s="254">
        <v>141483</v>
      </c>
    </row>
    <row r="171" spans="1:7" x14ac:dyDescent="0.25">
      <c r="A171" s="75" t="s">
        <v>303</v>
      </c>
      <c r="B171" s="253" t="s">
        <v>128</v>
      </c>
      <c r="C171" s="254">
        <v>107497</v>
      </c>
      <c r="D171" s="254">
        <v>112919</v>
      </c>
      <c r="E171" s="254">
        <v>118616</v>
      </c>
      <c r="F171" s="254">
        <v>124593</v>
      </c>
      <c r="G171" s="254">
        <v>130878</v>
      </c>
    </row>
    <row r="172" spans="1:7" x14ac:dyDescent="0.25">
      <c r="A172" s="75" t="s">
        <v>304</v>
      </c>
      <c r="B172" s="253" t="s">
        <v>156</v>
      </c>
      <c r="C172" s="254">
        <v>86438</v>
      </c>
      <c r="D172" s="254">
        <v>90798</v>
      </c>
      <c r="E172" s="254">
        <v>95376</v>
      </c>
      <c r="F172" s="254">
        <v>100184</v>
      </c>
      <c r="G172" s="254">
        <v>105235</v>
      </c>
    </row>
    <row r="173" spans="1:7" x14ac:dyDescent="0.25">
      <c r="A173" s="75" t="s">
        <v>305</v>
      </c>
      <c r="B173" s="253" t="s">
        <v>120</v>
      </c>
      <c r="C173" s="254">
        <v>116211</v>
      </c>
      <c r="D173" s="254">
        <v>122068</v>
      </c>
      <c r="E173" s="254">
        <v>128223</v>
      </c>
      <c r="F173" s="254">
        <v>134685</v>
      </c>
      <c r="G173" s="254">
        <v>141483</v>
      </c>
    </row>
    <row r="174" spans="1:7" x14ac:dyDescent="0.25">
      <c r="A174" s="75" t="s">
        <v>306</v>
      </c>
      <c r="B174" s="253" t="s">
        <v>130</v>
      </c>
      <c r="C174" s="254">
        <v>155148</v>
      </c>
      <c r="D174" s="254">
        <v>162973</v>
      </c>
      <c r="E174" s="254">
        <v>171186</v>
      </c>
      <c r="F174" s="254">
        <v>179819</v>
      </c>
      <c r="G174" s="254">
        <v>188891</v>
      </c>
    </row>
    <row r="175" spans="1:7" x14ac:dyDescent="0.25">
      <c r="A175" s="75" t="s">
        <v>307</v>
      </c>
      <c r="B175" s="253" t="s">
        <v>126</v>
      </c>
      <c r="C175" s="254">
        <v>103727</v>
      </c>
      <c r="D175" s="254">
        <v>108961</v>
      </c>
      <c r="E175" s="254">
        <v>114454</v>
      </c>
      <c r="F175" s="254">
        <v>120224</v>
      </c>
      <c r="G175" s="254">
        <v>126287</v>
      </c>
    </row>
    <row r="176" spans="1:7" x14ac:dyDescent="0.25">
      <c r="A176" s="75" t="s">
        <v>308</v>
      </c>
      <c r="B176" s="253" t="s">
        <v>149</v>
      </c>
      <c r="C176" s="254">
        <v>194392</v>
      </c>
      <c r="D176" s="254">
        <v>204195</v>
      </c>
      <c r="E176" s="254">
        <v>214492</v>
      </c>
      <c r="F176" s="254">
        <v>225303</v>
      </c>
      <c r="G176" s="254">
        <v>236667</v>
      </c>
    </row>
    <row r="177" spans="1:7" x14ac:dyDescent="0.25">
      <c r="A177" s="75" t="s">
        <v>309</v>
      </c>
      <c r="B177" s="253" t="s">
        <v>149</v>
      </c>
      <c r="C177" s="254">
        <v>194392</v>
      </c>
      <c r="D177" s="254">
        <v>204195</v>
      </c>
      <c r="E177" s="254">
        <v>214492</v>
      </c>
      <c r="F177" s="254">
        <v>225303</v>
      </c>
      <c r="G177" s="254">
        <v>236667</v>
      </c>
    </row>
    <row r="178" spans="1:7" x14ac:dyDescent="0.25">
      <c r="A178" s="75" t="s">
        <v>310</v>
      </c>
      <c r="B178" s="253" t="s">
        <v>149</v>
      </c>
      <c r="C178" s="254">
        <v>194392</v>
      </c>
      <c r="D178" s="254">
        <v>204195</v>
      </c>
      <c r="E178" s="254">
        <v>214492</v>
      </c>
      <c r="F178" s="254">
        <v>225303</v>
      </c>
      <c r="G178" s="254">
        <v>236667</v>
      </c>
    </row>
    <row r="179" spans="1:7" x14ac:dyDescent="0.25">
      <c r="A179" s="75" t="s">
        <v>311</v>
      </c>
      <c r="B179" s="253" t="s">
        <v>149</v>
      </c>
      <c r="C179" s="254">
        <v>194392</v>
      </c>
      <c r="D179" s="254">
        <v>204195</v>
      </c>
      <c r="E179" s="254">
        <v>214492</v>
      </c>
      <c r="F179" s="254">
        <v>225303</v>
      </c>
      <c r="G179" s="254">
        <v>236667</v>
      </c>
    </row>
    <row r="180" spans="1:7" x14ac:dyDescent="0.25">
      <c r="A180" s="75" t="s">
        <v>312</v>
      </c>
      <c r="B180" s="253" t="s">
        <v>149</v>
      </c>
      <c r="C180" s="254">
        <v>194392</v>
      </c>
      <c r="D180" s="254">
        <v>204195</v>
      </c>
      <c r="E180" s="254">
        <v>214492</v>
      </c>
      <c r="F180" s="254">
        <v>225303</v>
      </c>
      <c r="G180" s="254">
        <v>236667</v>
      </c>
    </row>
    <row r="181" spans="1:7" x14ac:dyDescent="0.25">
      <c r="A181" s="75" t="s">
        <v>313</v>
      </c>
      <c r="B181" s="253" t="s">
        <v>156</v>
      </c>
      <c r="C181" s="254">
        <v>86438</v>
      </c>
      <c r="D181" s="254">
        <v>90798</v>
      </c>
      <c r="E181" s="254">
        <v>95376</v>
      </c>
      <c r="F181" s="254">
        <v>100184</v>
      </c>
      <c r="G181" s="254">
        <v>105235</v>
      </c>
    </row>
  </sheetData>
  <sheetProtection algorithmName="SHA-512" hashValue="wYCuqSEB+1Ye6RkT27VPACpd/awTSsA2/EEknaKmhGyxGFgtlekZmLFHdIem1z7Uh/hDrBMT/PxABa8IkVtSwA==" saltValue="QPdejAm7n/eToiFDkIWDrQ==" spinCount="100000" sheet="1" objects="1" scenarios="1" selectLockedCells="1" selectUnlockedCells="1"/>
  <pageMargins left="0.7" right="0.7" top="0.75" bottom="0.75" header="0.3" footer="0.3"/>
  <pageSetup scale="3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92D050"/>
  </sheetPr>
  <dimension ref="A1:E18"/>
  <sheetViews>
    <sheetView workbookViewId="0"/>
  </sheetViews>
  <sheetFormatPr defaultColWidth="9.109375" defaultRowHeight="15.6" x14ac:dyDescent="0.3"/>
  <cols>
    <col min="1" max="1" width="28.44140625" style="23" customWidth="1"/>
    <col min="2" max="2" width="12.6640625" style="29" bestFit="1" customWidth="1"/>
    <col min="3" max="3" width="14.109375" style="23" customWidth="1"/>
    <col min="4" max="4" width="2.33203125" style="23" customWidth="1"/>
    <col min="5" max="16384" width="9.109375" style="23"/>
  </cols>
  <sheetData>
    <row r="1" spans="1:5" x14ac:dyDescent="0.3">
      <c r="A1" s="20" t="s">
        <v>314</v>
      </c>
      <c r="B1" s="21" t="s">
        <v>315</v>
      </c>
      <c r="C1" s="275">
        <v>143291</v>
      </c>
      <c r="E1" s="23" t="s">
        <v>316</v>
      </c>
    </row>
    <row r="2" spans="1:5" x14ac:dyDescent="0.3">
      <c r="A2" s="23" t="s">
        <v>317</v>
      </c>
      <c r="B2" s="73">
        <v>0.191</v>
      </c>
      <c r="C2" s="22">
        <f>ROUND($B2*$C$1,0)</f>
        <v>27369</v>
      </c>
    </row>
    <row r="3" spans="1:5" ht="15.9" customHeight="1" x14ac:dyDescent="0.3">
      <c r="A3" s="23" t="s">
        <v>318</v>
      </c>
      <c r="B3" s="73">
        <f>'RATE SHEET'!$B$8</f>
        <v>1.4500000000000001E-2</v>
      </c>
      <c r="C3" s="22">
        <f t="shared" ref="C3:C7" si="0">ROUND($B3*$C$1,0)</f>
        <v>2078</v>
      </c>
    </row>
    <row r="4" spans="1:5" ht="15.9" customHeight="1" x14ac:dyDescent="0.3">
      <c r="A4" s="23" t="s">
        <v>319</v>
      </c>
      <c r="B4" s="73">
        <f>'RATE SHEET'!$B$9</f>
        <v>5.0000000000000001E-4</v>
      </c>
      <c r="C4" s="22">
        <f t="shared" si="0"/>
        <v>72</v>
      </c>
    </row>
    <row r="5" spans="1:5" x14ac:dyDescent="0.3">
      <c r="A5" s="23" t="s">
        <v>320</v>
      </c>
      <c r="B5" s="73">
        <f>'RATE SHEET'!$B$10</f>
        <v>1.6E-2</v>
      </c>
      <c r="C5" s="22">
        <f t="shared" si="0"/>
        <v>2293</v>
      </c>
    </row>
    <row r="6" spans="1:5" x14ac:dyDescent="0.3">
      <c r="A6" s="23" t="s">
        <v>321</v>
      </c>
      <c r="B6" s="73">
        <f>'RATE SHEET'!$B$12</f>
        <v>0.03</v>
      </c>
      <c r="C6" s="22">
        <f t="shared" si="0"/>
        <v>4299</v>
      </c>
    </row>
    <row r="7" spans="1:5" x14ac:dyDescent="0.3">
      <c r="A7" s="23" t="s">
        <v>322</v>
      </c>
      <c r="B7" s="73">
        <f>'RATE SHEET'!$B$11</f>
        <v>2E-3</v>
      </c>
      <c r="C7" s="22">
        <f t="shared" si="0"/>
        <v>287</v>
      </c>
    </row>
    <row r="8" spans="1:5" ht="17.399999999999999" x14ac:dyDescent="0.45">
      <c r="A8" s="23" t="s">
        <v>323</v>
      </c>
      <c r="B8" s="73"/>
      <c r="C8" s="25">
        <f>'RATE SHEET'!$B$19</f>
        <v>42151.799999999996</v>
      </c>
    </row>
    <row r="9" spans="1:5" s="26" customFormat="1" ht="17.399999999999999" x14ac:dyDescent="0.45">
      <c r="A9" s="26" t="s">
        <v>324</v>
      </c>
      <c r="B9" s="27"/>
      <c r="C9" s="28">
        <f>SUM(C1:C8)</f>
        <v>221840.8</v>
      </c>
    </row>
    <row r="11" spans="1:5" x14ac:dyDescent="0.3">
      <c r="A11" s="23" t="s">
        <v>325</v>
      </c>
    </row>
    <row r="13" spans="1:5" x14ac:dyDescent="0.3">
      <c r="A13" s="23" t="s">
        <v>326</v>
      </c>
    </row>
    <row r="14" spans="1:5" x14ac:dyDescent="0.3">
      <c r="A14" s="23" t="s">
        <v>326</v>
      </c>
      <c r="B14" s="343"/>
    </row>
    <row r="15" spans="1:5" x14ac:dyDescent="0.3">
      <c r="A15" s="23" t="s">
        <v>327</v>
      </c>
      <c r="B15" s="344">
        <v>1269.5999999999999</v>
      </c>
    </row>
    <row r="16" spans="1:5" x14ac:dyDescent="0.3">
      <c r="A16" s="23" t="s">
        <v>328</v>
      </c>
      <c r="B16" s="344">
        <v>111</v>
      </c>
    </row>
    <row r="17" spans="1:2" x14ac:dyDescent="0.3">
      <c r="A17" s="23" t="s">
        <v>329</v>
      </c>
      <c r="B17" s="344">
        <v>40771.199999999997</v>
      </c>
    </row>
    <row r="18" spans="1:2" ht="16.2" thickBot="1" x14ac:dyDescent="0.35">
      <c r="B18" s="345">
        <f>SUM(B15:B17)</f>
        <v>42151.799999999996</v>
      </c>
    </row>
  </sheetData>
  <sheetProtection selectLockedCells="1" selectUnlockedCells="1"/>
  <pageMargins left="0.75" right="0.75" top="1.38" bottom="1" header="0.5" footer="0.5"/>
  <pageSetup orientation="portrait" r:id="rId1"/>
  <headerFooter alignWithMargins="0">
    <oddHeader>&amp;C&amp;"Times New Roman,Regular"&amp;12Riverside Community College District
2014/2015 Counselor/Librarian Total Cost of Position</oddHeader>
    <oddFooter>&amp;R&amp;9&amp;Z&amp;F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7F3D4-DD9E-43E2-99FA-E0C8A4579E03}">
  <sheetPr codeName="Sheet14">
    <tabColor theme="8"/>
    <pageSetUpPr fitToPage="1"/>
  </sheetPr>
  <dimension ref="A1:L186"/>
  <sheetViews>
    <sheetView workbookViewId="0"/>
  </sheetViews>
  <sheetFormatPr defaultRowHeight="13.2" x14ac:dyDescent="0.25"/>
  <cols>
    <col min="1" max="1" width="63.5546875" bestFit="1" customWidth="1"/>
    <col min="3" max="3" width="10.33203125" bestFit="1" customWidth="1"/>
    <col min="4" max="4" width="12.88671875" bestFit="1" customWidth="1"/>
    <col min="6" max="6" width="14.33203125" bestFit="1" customWidth="1"/>
    <col min="7" max="7" width="12.88671875" bestFit="1" customWidth="1"/>
  </cols>
  <sheetData>
    <row r="1" spans="1:12" ht="26.4" x14ac:dyDescent="0.25">
      <c r="A1" s="66" t="s">
        <v>109</v>
      </c>
      <c r="B1" s="67" t="s">
        <v>110</v>
      </c>
      <c r="C1" s="68" t="s">
        <v>111</v>
      </c>
      <c r="D1" s="68" t="s">
        <v>112</v>
      </c>
      <c r="E1" s="68" t="s">
        <v>113</v>
      </c>
      <c r="F1" s="68" t="s">
        <v>114</v>
      </c>
      <c r="G1" s="68" t="s">
        <v>115</v>
      </c>
      <c r="I1" s="389" t="s">
        <v>330</v>
      </c>
      <c r="J1" s="389"/>
    </row>
    <row r="2" spans="1:12" s="71" customFormat="1" x14ac:dyDescent="0.25">
      <c r="A2" s="388" t="s">
        <v>117</v>
      </c>
      <c r="B2" s="387" t="s">
        <v>118</v>
      </c>
      <c r="C2" s="254">
        <v>135771</v>
      </c>
      <c r="D2" s="254">
        <v>142616</v>
      </c>
      <c r="E2" s="254">
        <v>149806</v>
      </c>
      <c r="F2" s="254">
        <v>157359</v>
      </c>
      <c r="G2" s="254">
        <v>165296</v>
      </c>
    </row>
    <row r="3" spans="1:12" ht="15" customHeight="1" x14ac:dyDescent="0.25">
      <c r="A3" s="388" t="s">
        <v>119</v>
      </c>
      <c r="B3" s="387" t="s">
        <v>120</v>
      </c>
      <c r="C3" s="254">
        <v>118884</v>
      </c>
      <c r="D3" s="254">
        <v>124876</v>
      </c>
      <c r="E3" s="254">
        <v>131172</v>
      </c>
      <c r="F3" s="254">
        <v>137783</v>
      </c>
      <c r="G3" s="254">
        <v>144737</v>
      </c>
    </row>
    <row r="4" spans="1:12" ht="15" customHeight="1" x14ac:dyDescent="0.5">
      <c r="A4" s="388" t="s">
        <v>121</v>
      </c>
      <c r="B4" s="387" t="s">
        <v>122</v>
      </c>
      <c r="C4" s="254">
        <v>84006</v>
      </c>
      <c r="D4" s="254">
        <v>88239</v>
      </c>
      <c r="E4" s="254">
        <v>92688</v>
      </c>
      <c r="F4" s="254">
        <v>97366</v>
      </c>
      <c r="G4" s="254">
        <v>102270</v>
      </c>
      <c r="I4" s="77"/>
      <c r="J4" s="77"/>
      <c r="K4" s="77"/>
      <c r="L4" s="77"/>
    </row>
    <row r="5" spans="1:12" ht="15" customHeight="1" x14ac:dyDescent="0.5">
      <c r="A5" s="388" t="s">
        <v>123</v>
      </c>
      <c r="B5" s="387" t="s">
        <v>124</v>
      </c>
      <c r="C5" s="254">
        <v>123938</v>
      </c>
      <c r="D5" s="254">
        <v>130184</v>
      </c>
      <c r="E5" s="254">
        <v>136746</v>
      </c>
      <c r="F5" s="254">
        <v>143640</v>
      </c>
      <c r="G5" s="254">
        <v>150883</v>
      </c>
      <c r="I5" s="77"/>
      <c r="J5" s="77"/>
      <c r="K5" s="77"/>
      <c r="L5" s="77"/>
    </row>
    <row r="6" spans="1:12" ht="15" customHeight="1" x14ac:dyDescent="0.25">
      <c r="A6" s="388" t="s">
        <v>125</v>
      </c>
      <c r="B6" s="387" t="s">
        <v>126</v>
      </c>
      <c r="C6" s="254">
        <v>106113</v>
      </c>
      <c r="D6" s="254">
        <v>111467</v>
      </c>
      <c r="E6" s="254">
        <v>117086</v>
      </c>
      <c r="F6" s="254">
        <v>122989</v>
      </c>
      <c r="G6" s="254">
        <v>129192</v>
      </c>
      <c r="I6" s="19"/>
    </row>
    <row r="7" spans="1:12" ht="15" customHeight="1" x14ac:dyDescent="0.25">
      <c r="A7" s="388" t="s">
        <v>127</v>
      </c>
      <c r="B7" s="387" t="s">
        <v>128</v>
      </c>
      <c r="C7" s="254">
        <v>109969</v>
      </c>
      <c r="D7" s="254">
        <v>115516</v>
      </c>
      <c r="E7" s="254">
        <v>121344</v>
      </c>
      <c r="F7" s="254">
        <v>127459</v>
      </c>
      <c r="G7" s="254">
        <v>133888</v>
      </c>
      <c r="I7" s="19"/>
    </row>
    <row r="8" spans="1:12" ht="15" customHeight="1" x14ac:dyDescent="0.25">
      <c r="A8" s="388" t="s">
        <v>129</v>
      </c>
      <c r="B8" s="387" t="s">
        <v>130</v>
      </c>
      <c r="C8" s="254">
        <v>158716</v>
      </c>
      <c r="D8" s="254">
        <v>166721</v>
      </c>
      <c r="E8" s="254">
        <v>175123</v>
      </c>
      <c r="F8" s="254">
        <v>183955</v>
      </c>
      <c r="G8" s="254">
        <v>193235</v>
      </c>
      <c r="I8" s="19"/>
    </row>
    <row r="9" spans="1:12" ht="15" customHeight="1" x14ac:dyDescent="0.25">
      <c r="A9" s="388" t="s">
        <v>131</v>
      </c>
      <c r="B9" s="387" t="s">
        <v>124</v>
      </c>
      <c r="C9" s="254">
        <v>123938</v>
      </c>
      <c r="D9" s="254">
        <v>130184</v>
      </c>
      <c r="E9" s="254">
        <v>136746</v>
      </c>
      <c r="F9" s="254">
        <v>143640</v>
      </c>
      <c r="G9" s="254">
        <v>150883</v>
      </c>
      <c r="I9" s="19"/>
    </row>
    <row r="10" spans="1:12" ht="15" customHeight="1" x14ac:dyDescent="0.25">
      <c r="A10" s="388" t="s">
        <v>132</v>
      </c>
      <c r="B10" s="387" t="s">
        <v>124</v>
      </c>
      <c r="C10" s="254">
        <v>123938</v>
      </c>
      <c r="D10" s="254">
        <v>130184</v>
      </c>
      <c r="E10" s="254">
        <v>136746</v>
      </c>
      <c r="F10" s="254">
        <v>143640</v>
      </c>
      <c r="G10" s="254">
        <v>150883</v>
      </c>
      <c r="I10" s="19"/>
    </row>
    <row r="11" spans="1:12" ht="15" customHeight="1" x14ac:dyDescent="0.25">
      <c r="A11" s="388" t="s">
        <v>133</v>
      </c>
      <c r="B11" s="387" t="s">
        <v>126</v>
      </c>
      <c r="C11" s="254">
        <v>106113</v>
      </c>
      <c r="D11" s="254">
        <v>111467</v>
      </c>
      <c r="E11" s="254">
        <v>117086</v>
      </c>
      <c r="F11" s="254">
        <v>122989</v>
      </c>
      <c r="G11" s="254">
        <v>129192</v>
      </c>
      <c r="I11" s="19"/>
    </row>
    <row r="12" spans="1:12" ht="15" customHeight="1" x14ac:dyDescent="0.25">
      <c r="A12" s="388" t="s">
        <v>331</v>
      </c>
      <c r="B12" s="387" t="s">
        <v>130</v>
      </c>
      <c r="C12" s="254">
        <v>158716</v>
      </c>
      <c r="D12" s="254">
        <v>166721</v>
      </c>
      <c r="E12" s="254">
        <v>175123</v>
      </c>
      <c r="F12" s="254">
        <v>183955</v>
      </c>
      <c r="G12" s="254">
        <v>193235</v>
      </c>
      <c r="I12" s="19"/>
    </row>
    <row r="13" spans="1:12" ht="15" customHeight="1" x14ac:dyDescent="0.25">
      <c r="A13" s="388" t="s">
        <v>134</v>
      </c>
      <c r="B13" s="387" t="s">
        <v>135</v>
      </c>
      <c r="C13" s="254">
        <v>129656</v>
      </c>
      <c r="D13" s="254">
        <v>136190</v>
      </c>
      <c r="E13" s="254">
        <v>143057</v>
      </c>
      <c r="F13" s="254">
        <v>150276</v>
      </c>
      <c r="G13" s="254">
        <v>157850</v>
      </c>
      <c r="I13" s="19"/>
    </row>
    <row r="14" spans="1:12" ht="15" customHeight="1" x14ac:dyDescent="0.25">
      <c r="A14" s="388" t="s">
        <v>136</v>
      </c>
      <c r="B14" s="387" t="s">
        <v>137</v>
      </c>
      <c r="C14" s="254">
        <v>114229</v>
      </c>
      <c r="D14" s="254">
        <v>119988</v>
      </c>
      <c r="E14" s="254">
        <v>126039</v>
      </c>
      <c r="F14" s="254">
        <v>132393</v>
      </c>
      <c r="G14" s="254">
        <v>139069</v>
      </c>
      <c r="I14" s="19"/>
    </row>
    <row r="15" spans="1:12" ht="15" customHeight="1" x14ac:dyDescent="0.25">
      <c r="A15" s="388" t="s">
        <v>138</v>
      </c>
      <c r="B15" s="387" t="s">
        <v>126</v>
      </c>
      <c r="C15" s="254">
        <v>106113</v>
      </c>
      <c r="D15" s="254">
        <v>111467</v>
      </c>
      <c r="E15" s="254">
        <v>117086</v>
      </c>
      <c r="F15" s="254">
        <v>122989</v>
      </c>
      <c r="G15" s="254">
        <v>129192</v>
      </c>
      <c r="I15" s="19"/>
    </row>
    <row r="16" spans="1:12" ht="15" customHeight="1" x14ac:dyDescent="0.25">
      <c r="A16" s="388" t="s">
        <v>139</v>
      </c>
      <c r="B16" s="387" t="s">
        <v>126</v>
      </c>
      <c r="C16" s="254">
        <v>106113</v>
      </c>
      <c r="D16" s="254">
        <v>111467</v>
      </c>
      <c r="E16" s="254">
        <v>117086</v>
      </c>
      <c r="F16" s="254">
        <v>122989</v>
      </c>
      <c r="G16" s="254">
        <v>129192</v>
      </c>
      <c r="I16" s="19"/>
    </row>
    <row r="17" spans="1:9" ht="15" customHeight="1" x14ac:dyDescent="0.25">
      <c r="A17" s="388" t="s">
        <v>140</v>
      </c>
      <c r="B17" s="387" t="s">
        <v>130</v>
      </c>
      <c r="C17" s="254">
        <v>158716</v>
      </c>
      <c r="D17" s="254">
        <v>166721</v>
      </c>
      <c r="E17" s="254">
        <v>175123</v>
      </c>
      <c r="F17" s="254">
        <v>183955</v>
      </c>
      <c r="G17" s="254">
        <v>193235</v>
      </c>
      <c r="I17" s="19"/>
    </row>
    <row r="18" spans="1:9" ht="15" customHeight="1" x14ac:dyDescent="0.25">
      <c r="A18" s="388" t="s">
        <v>141</v>
      </c>
      <c r="B18" s="387" t="s">
        <v>130</v>
      </c>
      <c r="C18" s="254">
        <v>158716</v>
      </c>
      <c r="D18" s="254">
        <v>166721</v>
      </c>
      <c r="E18" s="254">
        <v>175123</v>
      </c>
      <c r="F18" s="254">
        <v>183955</v>
      </c>
      <c r="G18" s="254">
        <v>193235</v>
      </c>
      <c r="I18" s="19"/>
    </row>
    <row r="19" spans="1:9" ht="15" customHeight="1" x14ac:dyDescent="0.25">
      <c r="A19" s="388" t="s">
        <v>142</v>
      </c>
      <c r="B19" s="387" t="s">
        <v>130</v>
      </c>
      <c r="C19" s="254">
        <v>158716</v>
      </c>
      <c r="D19" s="254">
        <v>166721</v>
      </c>
      <c r="E19" s="254">
        <v>175123</v>
      </c>
      <c r="F19" s="254">
        <v>183955</v>
      </c>
      <c r="G19" s="254">
        <v>193235</v>
      </c>
      <c r="I19" s="19"/>
    </row>
    <row r="20" spans="1:9" ht="15" customHeight="1" x14ac:dyDescent="0.25">
      <c r="A20" s="388" t="s">
        <v>143</v>
      </c>
      <c r="B20" s="387" t="s">
        <v>130</v>
      </c>
      <c r="C20" s="254">
        <v>158716</v>
      </c>
      <c r="D20" s="254">
        <v>166721</v>
      </c>
      <c r="E20" s="254">
        <v>175123</v>
      </c>
      <c r="F20" s="254">
        <v>183955</v>
      </c>
      <c r="G20" s="254">
        <v>193235</v>
      </c>
      <c r="I20" s="19"/>
    </row>
    <row r="21" spans="1:9" ht="15" customHeight="1" x14ac:dyDescent="0.25">
      <c r="A21" s="388" t="s">
        <v>144</v>
      </c>
      <c r="B21" s="387" t="s">
        <v>130</v>
      </c>
      <c r="C21" s="254">
        <v>158716</v>
      </c>
      <c r="D21" s="254">
        <v>166721</v>
      </c>
      <c r="E21" s="254">
        <v>175123</v>
      </c>
      <c r="F21" s="254">
        <v>183955</v>
      </c>
      <c r="G21" s="254">
        <v>193235</v>
      </c>
      <c r="I21" s="19"/>
    </row>
    <row r="22" spans="1:9" ht="15" customHeight="1" x14ac:dyDescent="0.25">
      <c r="A22" s="388" t="s">
        <v>145</v>
      </c>
      <c r="B22" s="387" t="s">
        <v>130</v>
      </c>
      <c r="C22" s="254">
        <v>158716</v>
      </c>
      <c r="D22" s="254">
        <v>166721</v>
      </c>
      <c r="E22" s="254">
        <v>175123</v>
      </c>
      <c r="F22" s="254">
        <v>183955</v>
      </c>
      <c r="G22" s="254">
        <v>193235</v>
      </c>
      <c r="I22" s="19"/>
    </row>
    <row r="23" spans="1:9" ht="15" customHeight="1" x14ac:dyDescent="0.25">
      <c r="A23" s="388" t="s">
        <v>146</v>
      </c>
      <c r="B23" s="387" t="s">
        <v>147</v>
      </c>
      <c r="C23" s="254">
        <v>175276</v>
      </c>
      <c r="D23" s="254">
        <v>184111</v>
      </c>
      <c r="E23" s="254">
        <v>193395</v>
      </c>
      <c r="F23" s="254">
        <v>203149</v>
      </c>
      <c r="G23" s="254">
        <v>213391</v>
      </c>
      <c r="I23" s="19"/>
    </row>
    <row r="24" spans="1:9" ht="15" customHeight="1" x14ac:dyDescent="0.25">
      <c r="A24" s="388" t="s">
        <v>148</v>
      </c>
      <c r="B24" s="387" t="s">
        <v>149</v>
      </c>
      <c r="C24" s="254">
        <v>198863</v>
      </c>
      <c r="D24" s="254">
        <v>208891</v>
      </c>
      <c r="E24" s="254">
        <v>219425</v>
      </c>
      <c r="F24" s="254">
        <v>230485</v>
      </c>
      <c r="G24" s="254">
        <v>242110</v>
      </c>
      <c r="I24" s="19"/>
    </row>
    <row r="25" spans="1:9" ht="15" customHeight="1" x14ac:dyDescent="0.25">
      <c r="A25" s="388" t="s">
        <v>150</v>
      </c>
      <c r="B25" s="387" t="s">
        <v>149</v>
      </c>
      <c r="C25" s="254">
        <v>198863</v>
      </c>
      <c r="D25" s="254">
        <v>208891</v>
      </c>
      <c r="E25" s="254">
        <v>219425</v>
      </c>
      <c r="F25" s="254">
        <v>230485</v>
      </c>
      <c r="G25" s="254">
        <v>242110</v>
      </c>
      <c r="I25" s="19"/>
    </row>
    <row r="26" spans="1:9" ht="15" customHeight="1" x14ac:dyDescent="0.25">
      <c r="A26" s="388" t="s">
        <v>151</v>
      </c>
      <c r="B26" s="387" t="s">
        <v>149</v>
      </c>
      <c r="C26" s="254">
        <v>198863</v>
      </c>
      <c r="D26" s="254">
        <v>208891</v>
      </c>
      <c r="E26" s="254">
        <v>219425</v>
      </c>
      <c r="F26" s="254">
        <v>230485</v>
      </c>
      <c r="G26" s="254">
        <v>242110</v>
      </c>
      <c r="I26" s="19"/>
    </row>
    <row r="27" spans="1:9" ht="15" customHeight="1" x14ac:dyDescent="0.25">
      <c r="A27" s="388" t="s">
        <v>152</v>
      </c>
      <c r="B27" s="387" t="s">
        <v>149</v>
      </c>
      <c r="C27" s="254">
        <v>198863</v>
      </c>
      <c r="D27" s="254">
        <v>208891</v>
      </c>
      <c r="E27" s="254">
        <v>219425</v>
      </c>
      <c r="F27" s="254">
        <v>230485</v>
      </c>
      <c r="G27" s="254">
        <v>242110</v>
      </c>
      <c r="I27" s="19"/>
    </row>
    <row r="28" spans="1:9" ht="15" customHeight="1" x14ac:dyDescent="0.25">
      <c r="A28" s="388" t="s">
        <v>153</v>
      </c>
      <c r="B28" s="387" t="s">
        <v>154</v>
      </c>
      <c r="C28" s="254">
        <v>185925</v>
      </c>
      <c r="D28" s="254">
        <v>195297</v>
      </c>
      <c r="E28" s="254">
        <v>205146</v>
      </c>
      <c r="F28" s="254">
        <v>215488</v>
      </c>
      <c r="G28" s="254">
        <v>226351</v>
      </c>
      <c r="I28" s="19"/>
    </row>
    <row r="29" spans="1:9" ht="15" customHeight="1" x14ac:dyDescent="0.25">
      <c r="A29" s="388" t="s">
        <v>332</v>
      </c>
      <c r="B29" s="387" t="s">
        <v>149</v>
      </c>
      <c r="C29" s="254">
        <v>198863</v>
      </c>
      <c r="D29" s="254">
        <v>208891</v>
      </c>
      <c r="E29" s="254">
        <v>219425</v>
      </c>
      <c r="F29" s="254">
        <v>230485</v>
      </c>
      <c r="G29" s="254">
        <v>242110</v>
      </c>
      <c r="I29" s="19"/>
    </row>
    <row r="30" spans="1:9" ht="15" customHeight="1" x14ac:dyDescent="0.25">
      <c r="A30" s="388" t="s">
        <v>155</v>
      </c>
      <c r="B30" s="387" t="s">
        <v>156</v>
      </c>
      <c r="C30" s="254">
        <v>88426</v>
      </c>
      <c r="D30" s="254">
        <v>92886</v>
      </c>
      <c r="E30" s="254">
        <v>97570</v>
      </c>
      <c r="F30" s="254">
        <v>102488</v>
      </c>
      <c r="G30" s="254">
        <v>107655</v>
      </c>
      <c r="I30" s="78"/>
    </row>
    <row r="31" spans="1:9" ht="15" customHeight="1" x14ac:dyDescent="0.25">
      <c r="A31" s="388" t="s">
        <v>157</v>
      </c>
      <c r="B31" s="387" t="s">
        <v>149</v>
      </c>
      <c r="C31" s="254">
        <v>198863</v>
      </c>
      <c r="D31" s="254">
        <v>208891</v>
      </c>
      <c r="E31" s="254">
        <v>219425</v>
      </c>
      <c r="F31" s="254">
        <v>230485</v>
      </c>
      <c r="G31" s="254">
        <v>242110</v>
      </c>
      <c r="I31" s="19"/>
    </row>
    <row r="32" spans="1:9" ht="15" customHeight="1" x14ac:dyDescent="0.25">
      <c r="A32" s="388" t="s">
        <v>158</v>
      </c>
      <c r="B32" s="387" t="s">
        <v>147</v>
      </c>
      <c r="C32" s="254">
        <v>175276</v>
      </c>
      <c r="D32" s="254">
        <v>184111</v>
      </c>
      <c r="E32" s="254">
        <v>193395</v>
      </c>
      <c r="F32" s="254">
        <v>203149</v>
      </c>
      <c r="G32" s="254">
        <v>213391</v>
      </c>
      <c r="I32" s="19"/>
    </row>
    <row r="33" spans="1:9" ht="15" customHeight="1" x14ac:dyDescent="0.25">
      <c r="A33" s="388" t="s">
        <v>159</v>
      </c>
      <c r="B33" s="387" t="s">
        <v>149</v>
      </c>
      <c r="C33" s="254">
        <v>198863</v>
      </c>
      <c r="D33" s="254">
        <v>208891</v>
      </c>
      <c r="E33" s="254">
        <v>219425</v>
      </c>
      <c r="F33" s="254">
        <v>230485</v>
      </c>
      <c r="G33" s="254">
        <v>242110</v>
      </c>
      <c r="I33" s="19"/>
    </row>
    <row r="34" spans="1:9" ht="15" customHeight="1" x14ac:dyDescent="0.25">
      <c r="A34" s="388" t="s">
        <v>160</v>
      </c>
      <c r="B34" s="387" t="s">
        <v>137</v>
      </c>
      <c r="C34" s="254">
        <v>114229</v>
      </c>
      <c r="D34" s="254">
        <v>119988</v>
      </c>
      <c r="E34" s="254">
        <v>126039</v>
      </c>
      <c r="F34" s="254">
        <v>132393</v>
      </c>
      <c r="G34" s="254">
        <v>139069</v>
      </c>
      <c r="I34" s="19"/>
    </row>
    <row r="35" spans="1:9" ht="15" customHeight="1" x14ac:dyDescent="0.25">
      <c r="A35" s="388" t="s">
        <v>161</v>
      </c>
      <c r="B35" s="387" t="s">
        <v>162</v>
      </c>
      <c r="C35" s="254">
        <v>180333</v>
      </c>
      <c r="D35" s="254">
        <v>189425</v>
      </c>
      <c r="E35" s="254">
        <v>198977</v>
      </c>
      <c r="F35" s="254">
        <v>209008</v>
      </c>
      <c r="G35" s="254">
        <v>219545</v>
      </c>
      <c r="I35" s="19"/>
    </row>
    <row r="36" spans="1:9" ht="15" customHeight="1" x14ac:dyDescent="0.25">
      <c r="A36" s="388" t="s">
        <v>163</v>
      </c>
      <c r="B36" s="387" t="s">
        <v>126</v>
      </c>
      <c r="C36" s="254">
        <v>106113</v>
      </c>
      <c r="D36" s="254">
        <v>111467</v>
      </c>
      <c r="E36" s="254">
        <v>117086</v>
      </c>
      <c r="F36" s="254">
        <v>122989</v>
      </c>
      <c r="G36" s="254">
        <v>129192</v>
      </c>
      <c r="I36" s="19"/>
    </row>
    <row r="37" spans="1:9" ht="15" customHeight="1" x14ac:dyDescent="0.25">
      <c r="A37" s="388" t="s">
        <v>164</v>
      </c>
      <c r="B37" s="387" t="s">
        <v>165</v>
      </c>
      <c r="C37" s="254">
        <v>92851</v>
      </c>
      <c r="D37" s="254">
        <v>97528</v>
      </c>
      <c r="E37" s="254">
        <v>102448</v>
      </c>
      <c r="F37" s="254">
        <v>107613</v>
      </c>
      <c r="G37" s="254">
        <v>113037</v>
      </c>
      <c r="I37" s="19"/>
    </row>
    <row r="38" spans="1:9" ht="15" customHeight="1" x14ac:dyDescent="0.25">
      <c r="A38" s="388" t="s">
        <v>166</v>
      </c>
      <c r="B38" s="387" t="s">
        <v>162</v>
      </c>
      <c r="C38" s="254">
        <v>180333</v>
      </c>
      <c r="D38" s="254">
        <v>189425</v>
      </c>
      <c r="E38" s="254">
        <v>198977</v>
      </c>
      <c r="F38" s="254">
        <v>209008</v>
      </c>
      <c r="G38" s="254">
        <v>219545</v>
      </c>
      <c r="I38" s="19"/>
    </row>
    <row r="39" spans="1:9" ht="15" customHeight="1" x14ac:dyDescent="0.25">
      <c r="A39" s="388" t="s">
        <v>167</v>
      </c>
      <c r="B39" s="387" t="s">
        <v>154</v>
      </c>
      <c r="C39" s="254">
        <v>185925</v>
      </c>
      <c r="D39" s="254">
        <v>195297</v>
      </c>
      <c r="E39" s="254">
        <v>205146</v>
      </c>
      <c r="F39" s="254">
        <v>215488</v>
      </c>
      <c r="G39" s="254">
        <v>226351</v>
      </c>
      <c r="I39" s="19"/>
    </row>
    <row r="40" spans="1:9" ht="15" customHeight="1" x14ac:dyDescent="0.25">
      <c r="A40" s="388" t="s">
        <v>168</v>
      </c>
      <c r="B40" s="387" t="s">
        <v>154</v>
      </c>
      <c r="C40" s="254">
        <v>185925</v>
      </c>
      <c r="D40" s="254">
        <v>195297</v>
      </c>
      <c r="E40" s="254">
        <v>205146</v>
      </c>
      <c r="F40" s="254">
        <v>215488</v>
      </c>
      <c r="G40" s="254">
        <v>226351</v>
      </c>
      <c r="I40" s="19"/>
    </row>
    <row r="41" spans="1:9" ht="15" customHeight="1" x14ac:dyDescent="0.25">
      <c r="A41" s="388" t="s">
        <v>169</v>
      </c>
      <c r="B41" s="387" t="s">
        <v>154</v>
      </c>
      <c r="C41" s="254">
        <v>185925</v>
      </c>
      <c r="D41" s="254">
        <v>195297</v>
      </c>
      <c r="E41" s="254">
        <v>205146</v>
      </c>
      <c r="F41" s="254">
        <v>215488</v>
      </c>
      <c r="G41" s="254">
        <v>226351</v>
      </c>
      <c r="I41" s="19"/>
    </row>
    <row r="42" spans="1:9" ht="15" customHeight="1" x14ac:dyDescent="0.25">
      <c r="A42" s="388" t="s">
        <v>170</v>
      </c>
      <c r="B42" s="387" t="s">
        <v>154</v>
      </c>
      <c r="C42" s="254">
        <v>185925</v>
      </c>
      <c r="D42" s="254">
        <v>195297</v>
      </c>
      <c r="E42" s="254">
        <v>205146</v>
      </c>
      <c r="F42" s="254">
        <v>215488</v>
      </c>
      <c r="G42" s="254">
        <v>226351</v>
      </c>
      <c r="I42" s="19"/>
    </row>
    <row r="43" spans="1:9" ht="15" customHeight="1" x14ac:dyDescent="0.25">
      <c r="A43" s="388" t="s">
        <v>171</v>
      </c>
      <c r="B43" s="387" t="s">
        <v>154</v>
      </c>
      <c r="C43" s="254">
        <v>185925</v>
      </c>
      <c r="D43" s="254">
        <v>195297</v>
      </c>
      <c r="E43" s="254">
        <v>205146</v>
      </c>
      <c r="F43" s="254">
        <v>215488</v>
      </c>
      <c r="G43" s="254">
        <v>226351</v>
      </c>
      <c r="I43" s="19"/>
    </row>
    <row r="44" spans="1:9" ht="15" customHeight="1" x14ac:dyDescent="0.25">
      <c r="A44" s="388" t="s">
        <v>172</v>
      </c>
      <c r="B44" s="387" t="s">
        <v>154</v>
      </c>
      <c r="C44" s="254">
        <v>185925</v>
      </c>
      <c r="D44" s="254">
        <v>195297</v>
      </c>
      <c r="E44" s="254">
        <v>205146</v>
      </c>
      <c r="F44" s="254">
        <v>215488</v>
      </c>
      <c r="G44" s="254">
        <v>226351</v>
      </c>
      <c r="I44" s="19"/>
    </row>
    <row r="45" spans="1:9" ht="15" customHeight="1" x14ac:dyDescent="0.25">
      <c r="A45" s="388" t="s">
        <v>173</v>
      </c>
      <c r="B45" s="387" t="s">
        <v>154</v>
      </c>
      <c r="C45" s="254">
        <v>185925</v>
      </c>
      <c r="D45" s="254">
        <v>195297</v>
      </c>
      <c r="E45" s="254">
        <v>205146</v>
      </c>
      <c r="F45" s="254">
        <v>215488</v>
      </c>
      <c r="G45" s="254">
        <v>226351</v>
      </c>
      <c r="I45" s="19"/>
    </row>
    <row r="46" spans="1:9" ht="15" customHeight="1" x14ac:dyDescent="0.25">
      <c r="A46" s="388" t="s">
        <v>174</v>
      </c>
      <c r="B46" s="387" t="s">
        <v>154</v>
      </c>
      <c r="C46" s="254">
        <v>185925</v>
      </c>
      <c r="D46" s="254">
        <v>195297</v>
      </c>
      <c r="E46" s="254">
        <v>205146</v>
      </c>
      <c r="F46" s="254">
        <v>215488</v>
      </c>
      <c r="G46" s="254">
        <v>226351</v>
      </c>
      <c r="I46" s="19"/>
    </row>
    <row r="47" spans="1:9" ht="15" customHeight="1" x14ac:dyDescent="0.25">
      <c r="A47" s="388" t="s">
        <v>175</v>
      </c>
      <c r="B47" s="387" t="s">
        <v>154</v>
      </c>
      <c r="C47" s="254">
        <v>185925</v>
      </c>
      <c r="D47" s="254">
        <v>195297</v>
      </c>
      <c r="E47" s="254">
        <v>205146</v>
      </c>
      <c r="F47" s="254">
        <v>215488</v>
      </c>
      <c r="G47" s="254">
        <v>226351</v>
      </c>
      <c r="I47" s="19"/>
    </row>
    <row r="48" spans="1:9" ht="15" customHeight="1" x14ac:dyDescent="0.25">
      <c r="A48" s="388" t="s">
        <v>176</v>
      </c>
      <c r="B48" s="387" t="s">
        <v>147</v>
      </c>
      <c r="C48" s="254">
        <v>175276</v>
      </c>
      <c r="D48" s="254">
        <v>184111</v>
      </c>
      <c r="E48" s="254">
        <v>193395</v>
      </c>
      <c r="F48" s="254">
        <v>203149</v>
      </c>
      <c r="G48" s="254">
        <v>213391</v>
      </c>
      <c r="I48" s="19"/>
    </row>
    <row r="49" spans="1:9" ht="15" customHeight="1" x14ac:dyDescent="0.25">
      <c r="A49" s="388" t="s">
        <v>177</v>
      </c>
      <c r="B49" s="387" t="s">
        <v>178</v>
      </c>
      <c r="C49" s="254">
        <v>170679</v>
      </c>
      <c r="D49" s="254">
        <v>179289</v>
      </c>
      <c r="E49" s="254">
        <v>188324</v>
      </c>
      <c r="F49" s="254">
        <v>197820</v>
      </c>
      <c r="G49" s="254">
        <v>207797</v>
      </c>
      <c r="I49" s="19"/>
    </row>
    <row r="50" spans="1:9" ht="15" customHeight="1" x14ac:dyDescent="0.25">
      <c r="A50" s="388" t="s">
        <v>179</v>
      </c>
      <c r="B50" s="387" t="s">
        <v>147</v>
      </c>
      <c r="C50" s="254">
        <v>175276</v>
      </c>
      <c r="D50" s="254">
        <v>184111</v>
      </c>
      <c r="E50" s="254">
        <v>193395</v>
      </c>
      <c r="F50" s="254">
        <v>203149</v>
      </c>
      <c r="G50" s="254">
        <v>213391</v>
      </c>
      <c r="I50" s="19"/>
    </row>
    <row r="51" spans="1:9" ht="15" customHeight="1" x14ac:dyDescent="0.25">
      <c r="A51" s="388" t="s">
        <v>180</v>
      </c>
      <c r="B51" s="387" t="s">
        <v>178</v>
      </c>
      <c r="C51" s="254">
        <v>170679</v>
      </c>
      <c r="D51" s="254">
        <v>179289</v>
      </c>
      <c r="E51" s="254">
        <v>188324</v>
      </c>
      <c r="F51" s="254">
        <v>197820</v>
      </c>
      <c r="G51" s="254">
        <v>207797</v>
      </c>
      <c r="I51" s="19"/>
    </row>
    <row r="52" spans="1:9" ht="15" customHeight="1" x14ac:dyDescent="0.25">
      <c r="A52" s="388" t="s">
        <v>181</v>
      </c>
      <c r="B52" s="387" t="s">
        <v>154</v>
      </c>
      <c r="C52" s="254">
        <v>185925</v>
      </c>
      <c r="D52" s="254">
        <v>195297</v>
      </c>
      <c r="E52" s="254">
        <v>205146</v>
      </c>
      <c r="F52" s="254">
        <v>215488</v>
      </c>
      <c r="G52" s="254">
        <v>226351</v>
      </c>
      <c r="I52" s="19"/>
    </row>
    <row r="53" spans="1:9" ht="15" customHeight="1" x14ac:dyDescent="0.25">
      <c r="A53" s="388" t="s">
        <v>182</v>
      </c>
      <c r="B53" s="387" t="s">
        <v>162</v>
      </c>
      <c r="C53" s="254">
        <v>180333</v>
      </c>
      <c r="D53" s="254">
        <v>189425</v>
      </c>
      <c r="E53" s="254">
        <v>198977</v>
      </c>
      <c r="F53" s="254">
        <v>209008</v>
      </c>
      <c r="G53" s="254">
        <v>219545</v>
      </c>
      <c r="I53" s="19"/>
    </row>
    <row r="54" spans="1:9" ht="15" customHeight="1" x14ac:dyDescent="0.25">
      <c r="A54" s="388" t="s">
        <v>183</v>
      </c>
      <c r="B54" s="387" t="s">
        <v>162</v>
      </c>
      <c r="C54" s="254">
        <v>180333</v>
      </c>
      <c r="D54" s="254">
        <v>189425</v>
      </c>
      <c r="E54" s="254">
        <v>198977</v>
      </c>
      <c r="F54" s="254">
        <v>209008</v>
      </c>
      <c r="G54" s="254">
        <v>219545</v>
      </c>
      <c r="I54" s="19"/>
    </row>
    <row r="55" spans="1:9" ht="15" customHeight="1" x14ac:dyDescent="0.25">
      <c r="A55" s="388" t="s">
        <v>184</v>
      </c>
      <c r="B55" s="387" t="s">
        <v>178</v>
      </c>
      <c r="C55" s="254">
        <v>170679</v>
      </c>
      <c r="D55" s="254">
        <v>179289</v>
      </c>
      <c r="E55" s="254">
        <v>188324</v>
      </c>
      <c r="F55" s="254">
        <v>197820</v>
      </c>
      <c r="G55" s="254">
        <v>207797</v>
      </c>
      <c r="I55" s="19"/>
    </row>
    <row r="56" spans="1:9" ht="15" customHeight="1" x14ac:dyDescent="0.25">
      <c r="A56" s="388" t="s">
        <v>185</v>
      </c>
      <c r="B56" s="387" t="s">
        <v>130</v>
      </c>
      <c r="C56" s="254">
        <v>158716</v>
      </c>
      <c r="D56" s="254">
        <v>166721</v>
      </c>
      <c r="E56" s="254">
        <v>175123</v>
      </c>
      <c r="F56" s="254">
        <v>183955</v>
      </c>
      <c r="G56" s="254">
        <v>193235</v>
      </c>
      <c r="I56" s="19"/>
    </row>
    <row r="57" spans="1:9" ht="15" customHeight="1" x14ac:dyDescent="0.25">
      <c r="A57" s="388" t="s">
        <v>186</v>
      </c>
      <c r="B57" s="387" t="s">
        <v>178</v>
      </c>
      <c r="C57" s="254">
        <v>170679</v>
      </c>
      <c r="D57" s="254">
        <v>179289</v>
      </c>
      <c r="E57" s="254">
        <v>188324</v>
      </c>
      <c r="F57" s="254">
        <v>197820</v>
      </c>
      <c r="G57" s="254">
        <v>207797</v>
      </c>
      <c r="I57" s="19"/>
    </row>
    <row r="58" spans="1:9" ht="15" customHeight="1" x14ac:dyDescent="0.25">
      <c r="A58" s="388" t="s">
        <v>187</v>
      </c>
      <c r="B58" s="387" t="s">
        <v>178</v>
      </c>
      <c r="C58" s="254">
        <v>170679</v>
      </c>
      <c r="D58" s="254">
        <v>179289</v>
      </c>
      <c r="E58" s="254">
        <v>188324</v>
      </c>
      <c r="F58" s="254">
        <v>197820</v>
      </c>
      <c r="G58" s="254">
        <v>207797</v>
      </c>
      <c r="I58" s="19"/>
    </row>
    <row r="59" spans="1:9" ht="15" customHeight="1" x14ac:dyDescent="0.25">
      <c r="A59" s="388" t="s">
        <v>188</v>
      </c>
      <c r="B59" s="387" t="s">
        <v>178</v>
      </c>
      <c r="C59" s="254">
        <v>170679</v>
      </c>
      <c r="D59" s="254">
        <v>179289</v>
      </c>
      <c r="E59" s="254">
        <v>188324</v>
      </c>
      <c r="F59" s="254">
        <v>197820</v>
      </c>
      <c r="G59" s="254">
        <v>207797</v>
      </c>
      <c r="I59" s="19"/>
    </row>
    <row r="60" spans="1:9" ht="15" customHeight="1" x14ac:dyDescent="0.25">
      <c r="A60" s="388" t="s">
        <v>333</v>
      </c>
      <c r="B60" s="387" t="s">
        <v>178</v>
      </c>
      <c r="C60" s="254">
        <v>170679</v>
      </c>
      <c r="D60" s="254">
        <v>179289</v>
      </c>
      <c r="E60" s="254">
        <v>188324</v>
      </c>
      <c r="F60" s="254">
        <v>197820</v>
      </c>
      <c r="G60" s="254">
        <v>207797</v>
      </c>
      <c r="I60" s="19"/>
    </row>
    <row r="61" spans="1:9" ht="15" customHeight="1" x14ac:dyDescent="0.25">
      <c r="A61" s="388" t="s">
        <v>190</v>
      </c>
      <c r="B61" s="387" t="s">
        <v>154</v>
      </c>
      <c r="C61" s="254">
        <v>185925</v>
      </c>
      <c r="D61" s="254">
        <v>195297</v>
      </c>
      <c r="E61" s="254">
        <v>205146</v>
      </c>
      <c r="F61" s="254">
        <v>215488</v>
      </c>
      <c r="G61" s="254">
        <v>226351</v>
      </c>
      <c r="I61" s="19"/>
    </row>
    <row r="62" spans="1:9" ht="15" customHeight="1" x14ac:dyDescent="0.25">
      <c r="A62" s="388" t="s">
        <v>191</v>
      </c>
      <c r="B62" s="387" t="s">
        <v>178</v>
      </c>
      <c r="C62" s="254">
        <v>170679</v>
      </c>
      <c r="D62" s="254">
        <v>179289</v>
      </c>
      <c r="E62" s="254">
        <v>188324</v>
      </c>
      <c r="F62" s="254">
        <v>197820</v>
      </c>
      <c r="G62" s="254">
        <v>207797</v>
      </c>
      <c r="I62" s="19"/>
    </row>
    <row r="63" spans="1:9" ht="15" customHeight="1" x14ac:dyDescent="0.25">
      <c r="A63" s="388" t="s">
        <v>192</v>
      </c>
      <c r="B63" s="387" t="s">
        <v>147</v>
      </c>
      <c r="C63" s="254">
        <v>175276</v>
      </c>
      <c r="D63" s="254">
        <v>184111</v>
      </c>
      <c r="E63" s="254">
        <v>193395</v>
      </c>
      <c r="F63" s="254">
        <v>203149</v>
      </c>
      <c r="G63" s="254">
        <v>213391</v>
      </c>
      <c r="I63" s="19"/>
    </row>
    <row r="64" spans="1:9" ht="15" customHeight="1" x14ac:dyDescent="0.25">
      <c r="A64" s="388" t="s">
        <v>193</v>
      </c>
      <c r="B64" s="387" t="s">
        <v>178</v>
      </c>
      <c r="C64" s="254">
        <v>170679</v>
      </c>
      <c r="D64" s="254">
        <v>179289</v>
      </c>
      <c r="E64" s="254">
        <v>188324</v>
      </c>
      <c r="F64" s="254">
        <v>197820</v>
      </c>
      <c r="G64" s="254">
        <v>207797</v>
      </c>
      <c r="I64" s="19"/>
    </row>
    <row r="65" spans="1:9" ht="15" customHeight="1" x14ac:dyDescent="0.25">
      <c r="A65" s="388" t="s">
        <v>194</v>
      </c>
      <c r="B65" s="387" t="s">
        <v>147</v>
      </c>
      <c r="C65" s="254">
        <v>175276</v>
      </c>
      <c r="D65" s="254">
        <v>184111</v>
      </c>
      <c r="E65" s="254">
        <v>193395</v>
      </c>
      <c r="F65" s="254">
        <v>203149</v>
      </c>
      <c r="G65" s="254">
        <v>213391</v>
      </c>
      <c r="I65" s="19"/>
    </row>
    <row r="66" spans="1:9" ht="15" customHeight="1" x14ac:dyDescent="0.25">
      <c r="A66" s="388" t="s">
        <v>195</v>
      </c>
      <c r="B66" s="387" t="s">
        <v>162</v>
      </c>
      <c r="C66" s="254">
        <v>180333</v>
      </c>
      <c r="D66" s="254">
        <v>189425</v>
      </c>
      <c r="E66" s="254">
        <v>198977</v>
      </c>
      <c r="F66" s="254">
        <v>209008</v>
      </c>
      <c r="G66" s="254">
        <v>219545</v>
      </c>
      <c r="I66" s="19"/>
    </row>
    <row r="67" spans="1:9" ht="15" customHeight="1" x14ac:dyDescent="0.25">
      <c r="A67" s="388" t="s">
        <v>196</v>
      </c>
      <c r="B67" s="387" t="s">
        <v>162</v>
      </c>
      <c r="C67" s="254">
        <v>180333</v>
      </c>
      <c r="D67" s="254">
        <v>189425</v>
      </c>
      <c r="E67" s="254">
        <v>198977</v>
      </c>
      <c r="F67" s="254">
        <v>209008</v>
      </c>
      <c r="G67" s="254">
        <v>219545</v>
      </c>
      <c r="I67" s="19"/>
    </row>
    <row r="68" spans="1:9" ht="15" customHeight="1" x14ac:dyDescent="0.25">
      <c r="A68" s="388" t="s">
        <v>197</v>
      </c>
      <c r="B68" s="387" t="s">
        <v>147</v>
      </c>
      <c r="C68" s="254">
        <v>175276</v>
      </c>
      <c r="D68" s="254">
        <v>184111</v>
      </c>
      <c r="E68" s="254">
        <v>193395</v>
      </c>
      <c r="F68" s="254">
        <v>203149</v>
      </c>
      <c r="G68" s="254">
        <v>213391</v>
      </c>
      <c r="I68" s="19"/>
    </row>
    <row r="69" spans="1:9" ht="15" customHeight="1" x14ac:dyDescent="0.25">
      <c r="A69" s="388" t="s">
        <v>198</v>
      </c>
      <c r="B69" s="387" t="s">
        <v>130</v>
      </c>
      <c r="C69" s="254">
        <v>158716</v>
      </c>
      <c r="D69" s="254">
        <v>166721</v>
      </c>
      <c r="E69" s="254">
        <v>175123</v>
      </c>
      <c r="F69" s="254">
        <v>183955</v>
      </c>
      <c r="G69" s="254">
        <v>193235</v>
      </c>
      <c r="I69" s="19"/>
    </row>
    <row r="70" spans="1:9" ht="15" customHeight="1" x14ac:dyDescent="0.25">
      <c r="A70" s="388" t="s">
        <v>199</v>
      </c>
      <c r="B70" s="387" t="s">
        <v>147</v>
      </c>
      <c r="C70" s="254">
        <v>175276</v>
      </c>
      <c r="D70" s="254">
        <v>184111</v>
      </c>
      <c r="E70" s="254">
        <v>193395</v>
      </c>
      <c r="F70" s="254">
        <v>203149</v>
      </c>
      <c r="G70" s="254">
        <v>213391</v>
      </c>
      <c r="I70" s="19"/>
    </row>
    <row r="71" spans="1:9" ht="15" customHeight="1" x14ac:dyDescent="0.25">
      <c r="A71" s="388" t="s">
        <v>200</v>
      </c>
      <c r="B71" s="387" t="s">
        <v>137</v>
      </c>
      <c r="C71" s="254">
        <v>114229</v>
      </c>
      <c r="D71" s="254">
        <v>119988</v>
      </c>
      <c r="E71" s="254">
        <v>126039</v>
      </c>
      <c r="F71" s="254">
        <v>132393</v>
      </c>
      <c r="G71" s="254">
        <v>139069</v>
      </c>
      <c r="I71" s="19"/>
    </row>
    <row r="72" spans="1:9" ht="15" customHeight="1" x14ac:dyDescent="0.25">
      <c r="A72" s="388" t="s">
        <v>201</v>
      </c>
      <c r="B72" s="387" t="s">
        <v>128</v>
      </c>
      <c r="C72" s="254">
        <v>109969</v>
      </c>
      <c r="D72" s="254">
        <v>115516</v>
      </c>
      <c r="E72" s="254">
        <v>121344</v>
      </c>
      <c r="F72" s="254">
        <v>127459</v>
      </c>
      <c r="G72" s="254">
        <v>133888</v>
      </c>
      <c r="I72" s="19"/>
    </row>
    <row r="73" spans="1:9" ht="15" customHeight="1" x14ac:dyDescent="0.25">
      <c r="A73" s="388" t="s">
        <v>202</v>
      </c>
      <c r="B73" s="387" t="s">
        <v>147</v>
      </c>
      <c r="C73" s="254">
        <v>175276</v>
      </c>
      <c r="D73" s="254">
        <v>184111</v>
      </c>
      <c r="E73" s="254">
        <v>193395</v>
      </c>
      <c r="F73" s="254">
        <v>203149</v>
      </c>
      <c r="G73" s="254">
        <v>213391</v>
      </c>
      <c r="I73" s="19"/>
    </row>
    <row r="74" spans="1:9" ht="15" customHeight="1" x14ac:dyDescent="0.25">
      <c r="A74" s="388" t="s">
        <v>203</v>
      </c>
      <c r="B74" s="387" t="s">
        <v>130</v>
      </c>
      <c r="C74" s="254">
        <v>158716</v>
      </c>
      <c r="D74" s="254">
        <v>166721</v>
      </c>
      <c r="E74" s="254">
        <v>175123</v>
      </c>
      <c r="F74" s="254">
        <v>183955</v>
      </c>
      <c r="G74" s="254">
        <v>193235</v>
      </c>
      <c r="I74" s="19"/>
    </row>
    <row r="75" spans="1:9" ht="15" customHeight="1" x14ac:dyDescent="0.25">
      <c r="A75" s="388" t="s">
        <v>204</v>
      </c>
      <c r="B75" s="387" t="s">
        <v>178</v>
      </c>
      <c r="C75" s="254">
        <v>170679</v>
      </c>
      <c r="D75" s="254">
        <v>179289</v>
      </c>
      <c r="E75" s="254">
        <v>188324</v>
      </c>
      <c r="F75" s="254">
        <v>197820</v>
      </c>
      <c r="G75" s="254">
        <v>207797</v>
      </c>
      <c r="I75" s="19"/>
    </row>
    <row r="76" spans="1:9" ht="15" customHeight="1" x14ac:dyDescent="0.25">
      <c r="A76" s="388" t="s">
        <v>205</v>
      </c>
      <c r="B76" s="387" t="s">
        <v>135</v>
      </c>
      <c r="C76" s="254">
        <v>129656</v>
      </c>
      <c r="D76" s="254">
        <v>136190</v>
      </c>
      <c r="E76" s="254">
        <v>143057</v>
      </c>
      <c r="F76" s="254">
        <v>150276</v>
      </c>
      <c r="G76" s="254">
        <v>157850</v>
      </c>
      <c r="I76" s="19"/>
    </row>
    <row r="77" spans="1:9" ht="15" customHeight="1" x14ac:dyDescent="0.25">
      <c r="A77" s="388" t="s">
        <v>206</v>
      </c>
      <c r="B77" s="387" t="s">
        <v>135</v>
      </c>
      <c r="C77" s="254">
        <v>129656</v>
      </c>
      <c r="D77" s="254">
        <v>136190</v>
      </c>
      <c r="E77" s="254">
        <v>143057</v>
      </c>
      <c r="F77" s="254">
        <v>150276</v>
      </c>
      <c r="G77" s="254">
        <v>157850</v>
      </c>
      <c r="I77" s="19"/>
    </row>
    <row r="78" spans="1:9" ht="15" customHeight="1" x14ac:dyDescent="0.25">
      <c r="A78" s="388" t="s">
        <v>207</v>
      </c>
      <c r="B78" s="387" t="s">
        <v>135</v>
      </c>
      <c r="C78" s="254">
        <v>129656</v>
      </c>
      <c r="D78" s="254">
        <v>136190</v>
      </c>
      <c r="E78" s="254">
        <v>143057</v>
      </c>
      <c r="F78" s="254">
        <v>150276</v>
      </c>
      <c r="G78" s="254">
        <v>157850</v>
      </c>
      <c r="I78" s="19"/>
    </row>
    <row r="79" spans="1:9" ht="15" customHeight="1" x14ac:dyDescent="0.25">
      <c r="A79" s="388" t="s">
        <v>208</v>
      </c>
      <c r="B79" s="387" t="s">
        <v>120</v>
      </c>
      <c r="C79" s="254">
        <v>118884</v>
      </c>
      <c r="D79" s="254">
        <v>124876</v>
      </c>
      <c r="E79" s="254">
        <v>131172</v>
      </c>
      <c r="F79" s="254">
        <v>137783</v>
      </c>
      <c r="G79" s="254">
        <v>144737</v>
      </c>
      <c r="I79" s="19"/>
    </row>
    <row r="80" spans="1:9" ht="15" customHeight="1" x14ac:dyDescent="0.25">
      <c r="A80" s="388" t="s">
        <v>209</v>
      </c>
      <c r="B80" s="387" t="s">
        <v>130</v>
      </c>
      <c r="C80" s="254">
        <v>158716</v>
      </c>
      <c r="D80" s="254">
        <v>166721</v>
      </c>
      <c r="E80" s="254">
        <v>175123</v>
      </c>
      <c r="F80" s="254">
        <v>183955</v>
      </c>
      <c r="G80" s="254">
        <v>193235</v>
      </c>
      <c r="I80" s="19"/>
    </row>
    <row r="81" spans="1:9" ht="15" customHeight="1" x14ac:dyDescent="0.25">
      <c r="A81" s="388" t="s">
        <v>210</v>
      </c>
      <c r="B81" s="387" t="s">
        <v>118</v>
      </c>
      <c r="C81" s="254">
        <v>135771</v>
      </c>
      <c r="D81" s="254">
        <v>142616</v>
      </c>
      <c r="E81" s="254">
        <v>149806</v>
      </c>
      <c r="F81" s="254">
        <v>157359</v>
      </c>
      <c r="G81" s="254">
        <v>165296</v>
      </c>
      <c r="I81" s="19"/>
    </row>
    <row r="82" spans="1:9" ht="15" customHeight="1" x14ac:dyDescent="0.25">
      <c r="A82" s="388" t="s">
        <v>211</v>
      </c>
      <c r="B82" s="387" t="s">
        <v>120</v>
      </c>
      <c r="C82" s="254">
        <v>118884</v>
      </c>
      <c r="D82" s="254">
        <v>124876</v>
      </c>
      <c r="E82" s="254">
        <v>131172</v>
      </c>
      <c r="F82" s="254">
        <v>137783</v>
      </c>
      <c r="G82" s="254">
        <v>144737</v>
      </c>
      <c r="I82" s="19"/>
    </row>
    <row r="83" spans="1:9" ht="15" customHeight="1" x14ac:dyDescent="0.25">
      <c r="A83" s="388" t="s">
        <v>212</v>
      </c>
      <c r="B83" s="387" t="s">
        <v>118</v>
      </c>
      <c r="C83" s="254">
        <v>135771</v>
      </c>
      <c r="D83" s="254">
        <v>142616</v>
      </c>
      <c r="E83" s="254">
        <v>149806</v>
      </c>
      <c r="F83" s="254">
        <v>157359</v>
      </c>
      <c r="G83" s="254">
        <v>165296</v>
      </c>
      <c r="I83" s="19"/>
    </row>
    <row r="84" spans="1:9" ht="15" customHeight="1" x14ac:dyDescent="0.25">
      <c r="A84" s="388" t="s">
        <v>213</v>
      </c>
      <c r="B84" s="387" t="s">
        <v>135</v>
      </c>
      <c r="C84" s="254">
        <v>129656</v>
      </c>
      <c r="D84" s="254">
        <v>136190</v>
      </c>
      <c r="E84" s="254">
        <v>143057</v>
      </c>
      <c r="F84" s="254">
        <v>150276</v>
      </c>
      <c r="G84" s="254">
        <v>157850</v>
      </c>
      <c r="I84" s="19"/>
    </row>
    <row r="85" spans="1:9" ht="15" customHeight="1" x14ac:dyDescent="0.25">
      <c r="A85" s="388" t="s">
        <v>214</v>
      </c>
      <c r="B85" s="387" t="s">
        <v>120</v>
      </c>
      <c r="C85" s="254">
        <v>118884</v>
      </c>
      <c r="D85" s="254">
        <v>124876</v>
      </c>
      <c r="E85" s="254">
        <v>131172</v>
      </c>
      <c r="F85" s="254">
        <v>137783</v>
      </c>
      <c r="G85" s="254">
        <v>144737</v>
      </c>
      <c r="I85" s="19"/>
    </row>
    <row r="86" spans="1:9" ht="15" customHeight="1" x14ac:dyDescent="0.25">
      <c r="A86" s="388" t="s">
        <v>215</v>
      </c>
      <c r="B86" s="387" t="s">
        <v>135</v>
      </c>
      <c r="C86" s="254">
        <v>129656</v>
      </c>
      <c r="D86" s="254">
        <v>136190</v>
      </c>
      <c r="E86" s="254">
        <v>143057</v>
      </c>
      <c r="F86" s="254">
        <v>150276</v>
      </c>
      <c r="G86" s="254">
        <v>157850</v>
      </c>
      <c r="I86" s="19"/>
    </row>
    <row r="87" spans="1:9" ht="15" customHeight="1" x14ac:dyDescent="0.25">
      <c r="A87" s="388" t="s">
        <v>216</v>
      </c>
      <c r="B87" s="387" t="s">
        <v>130</v>
      </c>
      <c r="C87" s="254">
        <v>158716</v>
      </c>
      <c r="D87" s="254">
        <v>166721</v>
      </c>
      <c r="E87" s="254">
        <v>175123</v>
      </c>
      <c r="F87" s="254">
        <v>183955</v>
      </c>
      <c r="G87" s="254">
        <v>193235</v>
      </c>
      <c r="I87" s="19"/>
    </row>
    <row r="88" spans="1:9" ht="15" customHeight="1" x14ac:dyDescent="0.25">
      <c r="A88" s="388" t="s">
        <v>217</v>
      </c>
      <c r="B88" s="387" t="s">
        <v>130</v>
      </c>
      <c r="C88" s="254">
        <v>158716</v>
      </c>
      <c r="D88" s="254">
        <v>166721</v>
      </c>
      <c r="E88" s="254">
        <v>175123</v>
      </c>
      <c r="F88" s="254">
        <v>183955</v>
      </c>
      <c r="G88" s="254">
        <v>193235</v>
      </c>
      <c r="I88" s="19"/>
    </row>
    <row r="89" spans="1:9" ht="15" customHeight="1" x14ac:dyDescent="0.25">
      <c r="A89" s="388" t="s">
        <v>218</v>
      </c>
      <c r="B89" s="387" t="s">
        <v>147</v>
      </c>
      <c r="C89" s="254">
        <v>175276</v>
      </c>
      <c r="D89" s="254">
        <v>184111</v>
      </c>
      <c r="E89" s="254">
        <v>193395</v>
      </c>
      <c r="F89" s="254">
        <v>203149</v>
      </c>
      <c r="G89" s="254">
        <v>213391</v>
      </c>
      <c r="I89" s="19"/>
    </row>
    <row r="90" spans="1:9" ht="15" customHeight="1" x14ac:dyDescent="0.25">
      <c r="A90" s="388" t="s">
        <v>219</v>
      </c>
      <c r="B90" s="387" t="s">
        <v>162</v>
      </c>
      <c r="C90" s="254">
        <v>180333</v>
      </c>
      <c r="D90" s="254">
        <v>189425</v>
      </c>
      <c r="E90" s="254">
        <v>198977</v>
      </c>
      <c r="F90" s="254">
        <v>209008</v>
      </c>
      <c r="G90" s="254">
        <v>219545</v>
      </c>
      <c r="I90" s="19"/>
    </row>
    <row r="91" spans="1:9" ht="15" customHeight="1" x14ac:dyDescent="0.25">
      <c r="A91" s="388" t="s">
        <v>220</v>
      </c>
      <c r="B91" s="387" t="s">
        <v>120</v>
      </c>
      <c r="C91" s="254">
        <v>118884</v>
      </c>
      <c r="D91" s="254">
        <v>124876</v>
      </c>
      <c r="E91" s="254">
        <v>131172</v>
      </c>
      <c r="F91" s="254">
        <v>137783</v>
      </c>
      <c r="G91" s="254">
        <v>144737</v>
      </c>
      <c r="I91" s="19"/>
    </row>
    <row r="92" spans="1:9" ht="15" customHeight="1" x14ac:dyDescent="0.25">
      <c r="A92" s="388" t="s">
        <v>221</v>
      </c>
      <c r="B92" s="387" t="s">
        <v>118</v>
      </c>
      <c r="C92" s="254">
        <v>135771</v>
      </c>
      <c r="D92" s="254">
        <v>142616</v>
      </c>
      <c r="E92" s="254">
        <v>149806</v>
      </c>
      <c r="F92" s="254">
        <v>157359</v>
      </c>
      <c r="G92" s="254">
        <v>165296</v>
      </c>
      <c r="I92" s="19"/>
    </row>
    <row r="93" spans="1:9" ht="15" customHeight="1" x14ac:dyDescent="0.25">
      <c r="A93" s="388" t="s">
        <v>222</v>
      </c>
      <c r="B93" s="387" t="s">
        <v>130</v>
      </c>
      <c r="C93" s="254">
        <v>158716</v>
      </c>
      <c r="D93" s="254">
        <v>166721</v>
      </c>
      <c r="E93" s="254">
        <v>175123</v>
      </c>
      <c r="F93" s="254">
        <v>183955</v>
      </c>
      <c r="G93" s="254">
        <v>193235</v>
      </c>
      <c r="I93" s="19"/>
    </row>
    <row r="94" spans="1:9" ht="15" customHeight="1" x14ac:dyDescent="0.25">
      <c r="A94" s="388" t="s">
        <v>223</v>
      </c>
      <c r="B94" s="387" t="s">
        <v>135</v>
      </c>
      <c r="C94" s="254">
        <v>129656</v>
      </c>
      <c r="D94" s="254">
        <v>136190</v>
      </c>
      <c r="E94" s="254">
        <v>143057</v>
      </c>
      <c r="F94" s="254">
        <v>150276</v>
      </c>
      <c r="G94" s="254">
        <v>157850</v>
      </c>
      <c r="I94" s="19"/>
    </row>
    <row r="95" spans="1:9" ht="15" customHeight="1" x14ac:dyDescent="0.25">
      <c r="A95" s="388" t="s">
        <v>224</v>
      </c>
      <c r="B95" s="387" t="s">
        <v>135</v>
      </c>
      <c r="C95" s="254">
        <v>129656</v>
      </c>
      <c r="D95" s="254">
        <v>136190</v>
      </c>
      <c r="E95" s="254">
        <v>143057</v>
      </c>
      <c r="F95" s="254">
        <v>150276</v>
      </c>
      <c r="G95" s="254">
        <v>157850</v>
      </c>
      <c r="I95" s="19"/>
    </row>
    <row r="96" spans="1:9" ht="15" customHeight="1" x14ac:dyDescent="0.25">
      <c r="A96" s="388" t="s">
        <v>334</v>
      </c>
      <c r="B96" s="387" t="s">
        <v>130</v>
      </c>
      <c r="C96" s="254">
        <v>158716</v>
      </c>
      <c r="D96" s="254">
        <v>166721</v>
      </c>
      <c r="E96" s="254">
        <v>175123</v>
      </c>
      <c r="F96" s="254">
        <v>183955</v>
      </c>
      <c r="G96" s="254">
        <v>193235</v>
      </c>
      <c r="I96" s="19"/>
    </row>
    <row r="97" spans="1:9" ht="15" customHeight="1" x14ac:dyDescent="0.25">
      <c r="A97" s="388" t="s">
        <v>225</v>
      </c>
      <c r="B97" s="387" t="s">
        <v>124</v>
      </c>
      <c r="C97" s="254">
        <v>123938</v>
      </c>
      <c r="D97" s="254">
        <v>130184</v>
      </c>
      <c r="E97" s="254">
        <v>136746</v>
      </c>
      <c r="F97" s="254">
        <v>143640</v>
      </c>
      <c r="G97" s="254">
        <v>150883</v>
      </c>
      <c r="I97" s="19"/>
    </row>
    <row r="98" spans="1:9" ht="15" customHeight="1" x14ac:dyDescent="0.25">
      <c r="A98" s="388" t="s">
        <v>226</v>
      </c>
      <c r="B98" s="387" t="s">
        <v>120</v>
      </c>
      <c r="C98" s="254">
        <v>118884</v>
      </c>
      <c r="D98" s="254">
        <v>124876</v>
      </c>
      <c r="E98" s="254">
        <v>131172</v>
      </c>
      <c r="F98" s="254">
        <v>137783</v>
      </c>
      <c r="G98" s="254">
        <v>144737</v>
      </c>
      <c r="I98" s="19"/>
    </row>
    <row r="99" spans="1:9" ht="15" customHeight="1" x14ac:dyDescent="0.25">
      <c r="A99" s="388" t="s">
        <v>227</v>
      </c>
      <c r="B99" s="387" t="s">
        <v>130</v>
      </c>
      <c r="C99" s="254">
        <v>158716</v>
      </c>
      <c r="D99" s="254">
        <v>166721</v>
      </c>
      <c r="E99" s="254">
        <v>175123</v>
      </c>
      <c r="F99" s="254">
        <v>183955</v>
      </c>
      <c r="G99" s="254">
        <v>193235</v>
      </c>
      <c r="I99" s="19"/>
    </row>
    <row r="100" spans="1:9" ht="15" customHeight="1" x14ac:dyDescent="0.25">
      <c r="A100" s="388" t="s">
        <v>228</v>
      </c>
      <c r="B100" s="387" t="s">
        <v>124</v>
      </c>
      <c r="C100" s="254">
        <v>123938</v>
      </c>
      <c r="D100" s="254">
        <v>130184</v>
      </c>
      <c r="E100" s="254">
        <v>136746</v>
      </c>
      <c r="F100" s="254">
        <v>143640</v>
      </c>
      <c r="G100" s="254">
        <v>150883</v>
      </c>
      <c r="I100" s="19"/>
    </row>
    <row r="101" spans="1:9" ht="15" customHeight="1" x14ac:dyDescent="0.25">
      <c r="A101" s="388" t="s">
        <v>229</v>
      </c>
      <c r="B101" s="387" t="s">
        <v>130</v>
      </c>
      <c r="C101" s="254">
        <v>158716</v>
      </c>
      <c r="D101" s="254">
        <v>166721</v>
      </c>
      <c r="E101" s="254">
        <v>175123</v>
      </c>
      <c r="F101" s="254">
        <v>183955</v>
      </c>
      <c r="G101" s="254">
        <v>193235</v>
      </c>
      <c r="I101" s="19"/>
    </row>
    <row r="102" spans="1:9" ht="15" customHeight="1" x14ac:dyDescent="0.25">
      <c r="A102" s="388" t="s">
        <v>230</v>
      </c>
      <c r="B102" s="387" t="s">
        <v>147</v>
      </c>
      <c r="C102" s="254">
        <v>175276</v>
      </c>
      <c r="D102" s="254">
        <v>184111</v>
      </c>
      <c r="E102" s="254">
        <v>193395</v>
      </c>
      <c r="F102" s="254">
        <v>203149</v>
      </c>
      <c r="G102" s="254">
        <v>213391</v>
      </c>
      <c r="I102" s="19"/>
    </row>
    <row r="103" spans="1:9" ht="15" customHeight="1" x14ac:dyDescent="0.25">
      <c r="A103" s="388" t="s">
        <v>231</v>
      </c>
      <c r="B103" s="387" t="s">
        <v>135</v>
      </c>
      <c r="C103" s="254">
        <v>129656</v>
      </c>
      <c r="D103" s="254">
        <v>136190</v>
      </c>
      <c r="E103" s="254">
        <v>143057</v>
      </c>
      <c r="F103" s="254">
        <v>150276</v>
      </c>
      <c r="G103" s="254">
        <v>157850</v>
      </c>
      <c r="I103" s="19"/>
    </row>
    <row r="104" spans="1:9" ht="15" customHeight="1" x14ac:dyDescent="0.25">
      <c r="A104" s="388" t="s">
        <v>232</v>
      </c>
      <c r="B104" s="387" t="s">
        <v>135</v>
      </c>
      <c r="C104" s="254">
        <v>129656</v>
      </c>
      <c r="D104" s="254">
        <v>136190</v>
      </c>
      <c r="E104" s="254">
        <v>143057</v>
      </c>
      <c r="F104" s="254">
        <v>150276</v>
      </c>
      <c r="G104" s="254">
        <v>157850</v>
      </c>
      <c r="I104" s="19"/>
    </row>
    <row r="105" spans="1:9" ht="15" customHeight="1" x14ac:dyDescent="0.25">
      <c r="A105" s="388" t="s">
        <v>233</v>
      </c>
      <c r="B105" s="387" t="s">
        <v>135</v>
      </c>
      <c r="C105" s="254">
        <v>129656</v>
      </c>
      <c r="D105" s="254">
        <v>136190</v>
      </c>
      <c r="E105" s="254">
        <v>143057</v>
      </c>
      <c r="F105" s="254">
        <v>150276</v>
      </c>
      <c r="G105" s="254">
        <v>157850</v>
      </c>
      <c r="I105" s="19"/>
    </row>
    <row r="106" spans="1:9" ht="15" customHeight="1" x14ac:dyDescent="0.25">
      <c r="A106" s="388" t="s">
        <v>234</v>
      </c>
      <c r="B106" s="387" t="s">
        <v>135</v>
      </c>
      <c r="C106" s="254">
        <v>129656</v>
      </c>
      <c r="D106" s="254">
        <v>136190</v>
      </c>
      <c r="E106" s="254">
        <v>143057</v>
      </c>
      <c r="F106" s="254">
        <v>150276</v>
      </c>
      <c r="G106" s="254">
        <v>157850</v>
      </c>
      <c r="I106" s="19"/>
    </row>
    <row r="107" spans="1:9" ht="15" customHeight="1" x14ac:dyDescent="0.25">
      <c r="A107" s="388" t="s">
        <v>235</v>
      </c>
      <c r="B107" s="387" t="s">
        <v>162</v>
      </c>
      <c r="C107" s="254">
        <v>180333</v>
      </c>
      <c r="D107" s="254">
        <v>189425</v>
      </c>
      <c r="E107" s="254">
        <v>198977</v>
      </c>
      <c r="F107" s="254">
        <v>209008</v>
      </c>
      <c r="G107" s="254">
        <v>219545</v>
      </c>
      <c r="I107" s="19"/>
    </row>
    <row r="108" spans="1:9" ht="15" customHeight="1" x14ac:dyDescent="0.25">
      <c r="A108" s="388" t="s">
        <v>236</v>
      </c>
      <c r="B108" s="387" t="s">
        <v>135</v>
      </c>
      <c r="C108" s="254">
        <v>129656</v>
      </c>
      <c r="D108" s="254">
        <v>136190</v>
      </c>
      <c r="E108" s="254">
        <v>143057</v>
      </c>
      <c r="F108" s="254">
        <v>150276</v>
      </c>
      <c r="G108" s="254">
        <v>157850</v>
      </c>
      <c r="I108" s="19"/>
    </row>
    <row r="109" spans="1:9" ht="15" customHeight="1" x14ac:dyDescent="0.25">
      <c r="A109" s="388" t="s">
        <v>237</v>
      </c>
      <c r="B109" s="387" t="s">
        <v>135</v>
      </c>
      <c r="C109" s="254">
        <v>129656</v>
      </c>
      <c r="D109" s="254">
        <v>136190</v>
      </c>
      <c r="E109" s="254">
        <v>143057</v>
      </c>
      <c r="F109" s="254">
        <v>150276</v>
      </c>
      <c r="G109" s="254">
        <v>157850</v>
      </c>
      <c r="I109" s="19"/>
    </row>
    <row r="110" spans="1:9" ht="15" customHeight="1" x14ac:dyDescent="0.25">
      <c r="A110" s="388" t="s">
        <v>238</v>
      </c>
      <c r="B110" s="387" t="s">
        <v>130</v>
      </c>
      <c r="C110" s="254">
        <v>158716</v>
      </c>
      <c r="D110" s="254">
        <v>166721</v>
      </c>
      <c r="E110" s="254">
        <v>175123</v>
      </c>
      <c r="F110" s="254">
        <v>183955</v>
      </c>
      <c r="G110" s="254">
        <v>193235</v>
      </c>
      <c r="I110" s="19"/>
    </row>
    <row r="111" spans="1:9" x14ac:dyDescent="0.25">
      <c r="A111" s="388" t="s">
        <v>239</v>
      </c>
      <c r="B111" s="387" t="s">
        <v>135</v>
      </c>
      <c r="C111" s="254">
        <v>129656</v>
      </c>
      <c r="D111" s="254">
        <v>136190</v>
      </c>
      <c r="E111" s="254">
        <v>143057</v>
      </c>
      <c r="F111" s="254">
        <v>150276</v>
      </c>
      <c r="G111" s="254">
        <v>157850</v>
      </c>
      <c r="I111" s="19"/>
    </row>
    <row r="112" spans="1:9" x14ac:dyDescent="0.25">
      <c r="A112" s="388" t="s">
        <v>240</v>
      </c>
      <c r="B112" s="387" t="s">
        <v>120</v>
      </c>
      <c r="C112" s="254">
        <v>118884</v>
      </c>
      <c r="D112" s="254">
        <v>124876</v>
      </c>
      <c r="E112" s="254">
        <v>131172</v>
      </c>
      <c r="F112" s="254">
        <v>137783</v>
      </c>
      <c r="G112" s="254">
        <v>144737</v>
      </c>
      <c r="I112" s="19"/>
    </row>
    <row r="113" spans="1:9" x14ac:dyDescent="0.25">
      <c r="A113" s="388" t="s">
        <v>241</v>
      </c>
      <c r="B113" s="387" t="s">
        <v>135</v>
      </c>
      <c r="C113" s="254">
        <v>129656</v>
      </c>
      <c r="D113" s="254">
        <v>136190</v>
      </c>
      <c r="E113" s="254">
        <v>143057</v>
      </c>
      <c r="F113" s="254">
        <v>150276</v>
      </c>
      <c r="G113" s="254">
        <v>157850</v>
      </c>
      <c r="I113" s="19"/>
    </row>
    <row r="114" spans="1:9" x14ac:dyDescent="0.25">
      <c r="A114" s="388" t="s">
        <v>242</v>
      </c>
      <c r="B114" s="387" t="s">
        <v>135</v>
      </c>
      <c r="C114" s="254">
        <v>129656</v>
      </c>
      <c r="D114" s="254">
        <v>136190</v>
      </c>
      <c r="E114" s="254">
        <v>143057</v>
      </c>
      <c r="F114" s="254">
        <v>150276</v>
      </c>
      <c r="G114" s="254">
        <v>157850</v>
      </c>
      <c r="I114" s="19"/>
    </row>
    <row r="115" spans="1:9" x14ac:dyDescent="0.25">
      <c r="A115" s="388" t="s">
        <v>243</v>
      </c>
      <c r="B115" s="387" t="s">
        <v>162</v>
      </c>
      <c r="C115" s="254">
        <v>180333</v>
      </c>
      <c r="D115" s="254">
        <v>189425</v>
      </c>
      <c r="E115" s="254">
        <v>198977</v>
      </c>
      <c r="F115" s="254">
        <v>209008</v>
      </c>
      <c r="G115" s="254">
        <v>219545</v>
      </c>
      <c r="I115" s="19"/>
    </row>
    <row r="116" spans="1:9" x14ac:dyDescent="0.25">
      <c r="A116" s="388" t="s">
        <v>244</v>
      </c>
      <c r="B116" s="387" t="s">
        <v>147</v>
      </c>
      <c r="C116" s="254">
        <v>175276</v>
      </c>
      <c r="D116" s="254">
        <v>184111</v>
      </c>
      <c r="E116" s="254">
        <v>193395</v>
      </c>
      <c r="F116" s="254">
        <v>203149</v>
      </c>
      <c r="G116" s="254">
        <v>213391</v>
      </c>
      <c r="I116" s="19"/>
    </row>
    <row r="117" spans="1:9" x14ac:dyDescent="0.25">
      <c r="A117" s="388" t="s">
        <v>245</v>
      </c>
      <c r="B117" s="387" t="s">
        <v>128</v>
      </c>
      <c r="C117" s="254">
        <v>109969</v>
      </c>
      <c r="D117" s="254">
        <v>115516</v>
      </c>
      <c r="E117" s="254">
        <v>121344</v>
      </c>
      <c r="F117" s="254">
        <v>127459</v>
      </c>
      <c r="G117" s="254">
        <v>133888</v>
      </c>
      <c r="I117" s="19"/>
    </row>
    <row r="118" spans="1:9" x14ac:dyDescent="0.25">
      <c r="A118" s="388" t="s">
        <v>246</v>
      </c>
      <c r="B118" s="387" t="s">
        <v>162</v>
      </c>
      <c r="C118" s="254">
        <v>180333</v>
      </c>
      <c r="D118" s="254">
        <v>189425</v>
      </c>
      <c r="E118" s="254">
        <v>198977</v>
      </c>
      <c r="F118" s="254">
        <v>209008</v>
      </c>
      <c r="G118" s="254">
        <v>219545</v>
      </c>
      <c r="I118" s="19"/>
    </row>
    <row r="119" spans="1:9" x14ac:dyDescent="0.25">
      <c r="A119" s="388" t="s">
        <v>247</v>
      </c>
      <c r="B119" s="387" t="s">
        <v>135</v>
      </c>
      <c r="C119" s="254">
        <v>129656</v>
      </c>
      <c r="D119" s="254">
        <v>136190</v>
      </c>
      <c r="E119" s="254">
        <v>143057</v>
      </c>
      <c r="F119" s="254">
        <v>150276</v>
      </c>
      <c r="G119" s="254">
        <v>157850</v>
      </c>
      <c r="I119" s="19"/>
    </row>
    <row r="120" spans="1:9" x14ac:dyDescent="0.25">
      <c r="A120" s="388" t="s">
        <v>248</v>
      </c>
      <c r="B120" s="387" t="s">
        <v>135</v>
      </c>
      <c r="C120" s="254">
        <v>129656</v>
      </c>
      <c r="D120" s="254">
        <v>136190</v>
      </c>
      <c r="E120" s="254">
        <v>143057</v>
      </c>
      <c r="F120" s="254">
        <v>150276</v>
      </c>
      <c r="G120" s="254">
        <v>157850</v>
      </c>
      <c r="I120" s="19"/>
    </row>
    <row r="121" spans="1:9" x14ac:dyDescent="0.25">
      <c r="A121" s="388" t="s">
        <v>249</v>
      </c>
      <c r="B121" s="387" t="s">
        <v>120</v>
      </c>
      <c r="C121" s="254">
        <v>118884</v>
      </c>
      <c r="D121" s="254">
        <v>124876</v>
      </c>
      <c r="E121" s="254">
        <v>131172</v>
      </c>
      <c r="F121" s="254">
        <v>137783</v>
      </c>
      <c r="G121" s="254">
        <v>144737</v>
      </c>
      <c r="I121" s="19"/>
    </row>
    <row r="122" spans="1:9" x14ac:dyDescent="0.25">
      <c r="A122" s="388" t="s">
        <v>250</v>
      </c>
      <c r="B122" s="387" t="s">
        <v>130</v>
      </c>
      <c r="C122" s="254">
        <v>158716</v>
      </c>
      <c r="D122" s="254">
        <v>166721</v>
      </c>
      <c r="E122" s="254">
        <v>175123</v>
      </c>
      <c r="F122" s="254">
        <v>183955</v>
      </c>
      <c r="G122" s="254">
        <v>193235</v>
      </c>
      <c r="I122" s="19"/>
    </row>
    <row r="123" spans="1:9" x14ac:dyDescent="0.25">
      <c r="A123" s="388" t="s">
        <v>251</v>
      </c>
      <c r="B123" s="387" t="s">
        <v>130</v>
      </c>
      <c r="C123" s="254">
        <v>158716</v>
      </c>
      <c r="D123" s="254">
        <v>166721</v>
      </c>
      <c r="E123" s="254">
        <v>175123</v>
      </c>
      <c r="F123" s="254">
        <v>183955</v>
      </c>
      <c r="G123" s="254">
        <v>193235</v>
      </c>
    </row>
    <row r="124" spans="1:9" x14ac:dyDescent="0.25">
      <c r="A124" s="388" t="s">
        <v>252</v>
      </c>
      <c r="B124" s="387" t="s">
        <v>120</v>
      </c>
      <c r="C124" s="254">
        <v>118884</v>
      </c>
      <c r="D124" s="254">
        <v>124876</v>
      </c>
      <c r="E124" s="254">
        <v>131172</v>
      </c>
      <c r="F124" s="254">
        <v>137783</v>
      </c>
      <c r="G124" s="254">
        <v>144737</v>
      </c>
    </row>
    <row r="125" spans="1:9" x14ac:dyDescent="0.25">
      <c r="A125" s="388" t="s">
        <v>253</v>
      </c>
      <c r="B125" s="387" t="s">
        <v>135</v>
      </c>
      <c r="C125" s="254">
        <v>129656</v>
      </c>
      <c r="D125" s="254">
        <v>136190</v>
      </c>
      <c r="E125" s="254">
        <v>143057</v>
      </c>
      <c r="F125" s="254">
        <v>150276</v>
      </c>
      <c r="G125" s="254">
        <v>157850</v>
      </c>
    </row>
    <row r="126" spans="1:9" x14ac:dyDescent="0.25">
      <c r="A126" s="388" t="s">
        <v>254</v>
      </c>
      <c r="B126" s="387" t="s">
        <v>135</v>
      </c>
      <c r="C126" s="254">
        <v>129656</v>
      </c>
      <c r="D126" s="254">
        <v>136190</v>
      </c>
      <c r="E126" s="254">
        <v>143057</v>
      </c>
      <c r="F126" s="254">
        <v>150276</v>
      </c>
      <c r="G126" s="254">
        <v>157850</v>
      </c>
    </row>
    <row r="127" spans="1:9" x14ac:dyDescent="0.25">
      <c r="A127" s="388" t="s">
        <v>255</v>
      </c>
      <c r="B127" s="387" t="s">
        <v>120</v>
      </c>
      <c r="C127" s="254">
        <v>118884</v>
      </c>
      <c r="D127" s="254">
        <v>124876</v>
      </c>
      <c r="E127" s="254">
        <v>131172</v>
      </c>
      <c r="F127" s="254">
        <v>137783</v>
      </c>
      <c r="G127" s="254">
        <v>144737</v>
      </c>
    </row>
    <row r="128" spans="1:9" x14ac:dyDescent="0.25">
      <c r="A128" s="388" t="s">
        <v>256</v>
      </c>
      <c r="B128" s="387" t="s">
        <v>120</v>
      </c>
      <c r="C128" s="254">
        <v>118884</v>
      </c>
      <c r="D128" s="254">
        <v>124876</v>
      </c>
      <c r="E128" s="254">
        <v>131172</v>
      </c>
      <c r="F128" s="254">
        <v>137783</v>
      </c>
      <c r="G128" s="254">
        <v>144737</v>
      </c>
    </row>
    <row r="129" spans="1:7" x14ac:dyDescent="0.25">
      <c r="A129" s="388" t="s">
        <v>257</v>
      </c>
      <c r="B129" s="387" t="s">
        <v>135</v>
      </c>
      <c r="C129" s="254">
        <v>129656</v>
      </c>
      <c r="D129" s="254">
        <v>136190</v>
      </c>
      <c r="E129" s="254">
        <v>143057</v>
      </c>
      <c r="F129" s="254">
        <v>150276</v>
      </c>
      <c r="G129" s="254">
        <v>157850</v>
      </c>
    </row>
    <row r="130" spans="1:7" x14ac:dyDescent="0.25">
      <c r="A130" s="388" t="s">
        <v>335</v>
      </c>
      <c r="B130" s="387" t="s">
        <v>135</v>
      </c>
      <c r="C130" s="254">
        <v>129656</v>
      </c>
      <c r="D130" s="254">
        <v>136190</v>
      </c>
      <c r="E130" s="254">
        <v>143057</v>
      </c>
      <c r="F130" s="254">
        <v>150276</v>
      </c>
      <c r="G130" s="254">
        <v>157850</v>
      </c>
    </row>
    <row r="131" spans="1:7" x14ac:dyDescent="0.25">
      <c r="A131" s="388" t="s">
        <v>258</v>
      </c>
      <c r="B131" s="387" t="s">
        <v>118</v>
      </c>
      <c r="C131" s="254">
        <v>135771</v>
      </c>
      <c r="D131" s="254">
        <v>142616</v>
      </c>
      <c r="E131" s="254">
        <v>149806</v>
      </c>
      <c r="F131" s="254">
        <v>157359</v>
      </c>
      <c r="G131" s="254">
        <v>165296</v>
      </c>
    </row>
    <row r="132" spans="1:7" x14ac:dyDescent="0.25">
      <c r="A132" s="388" t="s">
        <v>259</v>
      </c>
      <c r="B132" s="387" t="s">
        <v>135</v>
      </c>
      <c r="C132" s="254">
        <v>129656</v>
      </c>
      <c r="D132" s="254">
        <v>136190</v>
      </c>
      <c r="E132" s="254">
        <v>143057</v>
      </c>
      <c r="F132" s="254">
        <v>150276</v>
      </c>
      <c r="G132" s="254">
        <v>157850</v>
      </c>
    </row>
    <row r="133" spans="1:7" x14ac:dyDescent="0.25">
      <c r="A133" s="388" t="s">
        <v>260</v>
      </c>
      <c r="B133" s="387" t="s">
        <v>261</v>
      </c>
      <c r="C133" s="254">
        <v>192051</v>
      </c>
      <c r="D133" s="254">
        <v>201733</v>
      </c>
      <c r="E133" s="254">
        <v>211906</v>
      </c>
      <c r="F133" s="254">
        <v>222590</v>
      </c>
      <c r="G133" s="254">
        <v>233811</v>
      </c>
    </row>
    <row r="134" spans="1:7" x14ac:dyDescent="0.25">
      <c r="A134" s="388" t="s">
        <v>262</v>
      </c>
      <c r="B134" s="387" t="s">
        <v>137</v>
      </c>
      <c r="C134" s="254">
        <v>114229</v>
      </c>
      <c r="D134" s="254">
        <v>119988</v>
      </c>
      <c r="E134" s="254">
        <v>126039</v>
      </c>
      <c r="F134" s="254">
        <v>132393</v>
      </c>
      <c r="G134" s="254">
        <v>139069</v>
      </c>
    </row>
    <row r="135" spans="1:7" x14ac:dyDescent="0.25">
      <c r="A135" s="388" t="s">
        <v>263</v>
      </c>
      <c r="B135" s="387" t="s">
        <v>135</v>
      </c>
      <c r="C135" s="254">
        <v>129656</v>
      </c>
      <c r="D135" s="254">
        <v>136190</v>
      </c>
      <c r="E135" s="254">
        <v>143057</v>
      </c>
      <c r="F135" s="254">
        <v>150276</v>
      </c>
      <c r="G135" s="254">
        <v>157850</v>
      </c>
    </row>
    <row r="136" spans="1:7" x14ac:dyDescent="0.25">
      <c r="A136" s="388" t="s">
        <v>264</v>
      </c>
      <c r="B136" s="387" t="s">
        <v>135</v>
      </c>
      <c r="C136" s="254">
        <v>129656</v>
      </c>
      <c r="D136" s="254">
        <v>136190</v>
      </c>
      <c r="E136" s="254">
        <v>143057</v>
      </c>
      <c r="F136" s="254">
        <v>150276</v>
      </c>
      <c r="G136" s="254">
        <v>157850</v>
      </c>
    </row>
    <row r="137" spans="1:7" x14ac:dyDescent="0.25">
      <c r="A137" s="388" t="s">
        <v>265</v>
      </c>
      <c r="B137" s="387" t="s">
        <v>178</v>
      </c>
      <c r="C137" s="254">
        <v>170679</v>
      </c>
      <c r="D137" s="254">
        <v>179289</v>
      </c>
      <c r="E137" s="254">
        <v>188324</v>
      </c>
      <c r="F137" s="254">
        <v>197820</v>
      </c>
      <c r="G137" s="254">
        <v>207797</v>
      </c>
    </row>
    <row r="138" spans="1:7" x14ac:dyDescent="0.25">
      <c r="A138" s="388" t="s">
        <v>266</v>
      </c>
      <c r="B138" s="387" t="s">
        <v>178</v>
      </c>
      <c r="C138" s="254">
        <v>170679</v>
      </c>
      <c r="D138" s="254">
        <v>179289</v>
      </c>
      <c r="E138" s="254">
        <v>188324</v>
      </c>
      <c r="F138" s="254">
        <v>197820</v>
      </c>
      <c r="G138" s="254">
        <v>207797</v>
      </c>
    </row>
    <row r="139" spans="1:7" x14ac:dyDescent="0.25">
      <c r="A139" s="388" t="s">
        <v>267</v>
      </c>
      <c r="B139" s="387" t="s">
        <v>118</v>
      </c>
      <c r="C139" s="254">
        <v>135771</v>
      </c>
      <c r="D139" s="254">
        <v>142616</v>
      </c>
      <c r="E139" s="254">
        <v>149806</v>
      </c>
      <c r="F139" s="254">
        <v>157359</v>
      </c>
      <c r="G139" s="254">
        <v>165296</v>
      </c>
    </row>
    <row r="140" spans="1:7" x14ac:dyDescent="0.25">
      <c r="A140" s="388" t="s">
        <v>268</v>
      </c>
      <c r="B140" s="387" t="s">
        <v>118</v>
      </c>
      <c r="C140" s="254">
        <v>135771</v>
      </c>
      <c r="D140" s="254">
        <v>142616</v>
      </c>
      <c r="E140" s="254">
        <v>149806</v>
      </c>
      <c r="F140" s="254">
        <v>157359</v>
      </c>
      <c r="G140" s="254">
        <v>165296</v>
      </c>
    </row>
    <row r="141" spans="1:7" x14ac:dyDescent="0.25">
      <c r="A141" s="388" t="s">
        <v>269</v>
      </c>
      <c r="B141" s="387" t="s">
        <v>130</v>
      </c>
      <c r="C141" s="254">
        <v>158716</v>
      </c>
      <c r="D141" s="254">
        <v>166721</v>
      </c>
      <c r="E141" s="254">
        <v>175123</v>
      </c>
      <c r="F141" s="254">
        <v>183955</v>
      </c>
      <c r="G141" s="254">
        <v>193235</v>
      </c>
    </row>
    <row r="142" spans="1:7" x14ac:dyDescent="0.25">
      <c r="A142" s="388" t="s">
        <v>270</v>
      </c>
      <c r="B142" s="387" t="s">
        <v>130</v>
      </c>
      <c r="C142" s="254">
        <v>158716</v>
      </c>
      <c r="D142" s="254">
        <v>166721</v>
      </c>
      <c r="E142" s="254">
        <v>175123</v>
      </c>
      <c r="F142" s="254">
        <v>183955</v>
      </c>
      <c r="G142" s="254">
        <v>193235</v>
      </c>
    </row>
    <row r="143" spans="1:7" x14ac:dyDescent="0.25">
      <c r="A143" s="388" t="s">
        <v>271</v>
      </c>
      <c r="B143" s="387" t="s">
        <v>261</v>
      </c>
      <c r="C143" s="254">
        <v>192051</v>
      </c>
      <c r="D143" s="254">
        <v>201733</v>
      </c>
      <c r="E143" s="254">
        <v>211906</v>
      </c>
      <c r="F143" s="254">
        <v>222590</v>
      </c>
      <c r="G143" s="254">
        <v>233811</v>
      </c>
    </row>
    <row r="144" spans="1:7" x14ac:dyDescent="0.25">
      <c r="A144" s="388" t="s">
        <v>272</v>
      </c>
      <c r="B144" s="387" t="s">
        <v>118</v>
      </c>
      <c r="C144" s="254">
        <v>135771</v>
      </c>
      <c r="D144" s="254">
        <v>142616</v>
      </c>
      <c r="E144" s="254">
        <v>149806</v>
      </c>
      <c r="F144" s="254">
        <v>157359</v>
      </c>
      <c r="G144" s="254">
        <v>165296</v>
      </c>
    </row>
    <row r="145" spans="1:7" x14ac:dyDescent="0.25">
      <c r="A145" s="388" t="s">
        <v>273</v>
      </c>
      <c r="B145" s="387" t="s">
        <v>149</v>
      </c>
      <c r="C145" s="254">
        <v>198863</v>
      </c>
      <c r="D145" s="254">
        <v>208891</v>
      </c>
      <c r="E145" s="254">
        <v>219425</v>
      </c>
      <c r="F145" s="254">
        <v>230485</v>
      </c>
      <c r="G145" s="254">
        <v>242110</v>
      </c>
    </row>
    <row r="146" spans="1:7" x14ac:dyDescent="0.25">
      <c r="A146" s="388" t="s">
        <v>274</v>
      </c>
      <c r="B146" s="387" t="s">
        <v>122</v>
      </c>
      <c r="C146" s="254">
        <v>84006</v>
      </c>
      <c r="D146" s="254">
        <v>88239</v>
      </c>
      <c r="E146" s="254">
        <v>92688</v>
      </c>
      <c r="F146" s="254">
        <v>97366</v>
      </c>
      <c r="G146" s="254">
        <v>102270</v>
      </c>
    </row>
    <row r="147" spans="1:7" x14ac:dyDescent="0.25">
      <c r="A147" s="388" t="s">
        <v>275</v>
      </c>
      <c r="B147" s="387" t="s">
        <v>120</v>
      </c>
      <c r="C147" s="254">
        <v>118884</v>
      </c>
      <c r="D147" s="254">
        <v>124876</v>
      </c>
      <c r="E147" s="254">
        <v>131172</v>
      </c>
      <c r="F147" s="254">
        <v>137783</v>
      </c>
      <c r="G147" s="254">
        <v>144737</v>
      </c>
    </row>
    <row r="148" spans="1:7" x14ac:dyDescent="0.25">
      <c r="A148" s="388" t="s">
        <v>276</v>
      </c>
      <c r="B148" s="387" t="s">
        <v>135</v>
      </c>
      <c r="C148" s="254">
        <v>129656</v>
      </c>
      <c r="D148" s="254">
        <v>136190</v>
      </c>
      <c r="E148" s="254">
        <v>143057</v>
      </c>
      <c r="F148" s="254">
        <v>150276</v>
      </c>
      <c r="G148" s="254">
        <v>157850</v>
      </c>
    </row>
    <row r="149" spans="1:7" x14ac:dyDescent="0.25">
      <c r="A149" s="388" t="s">
        <v>277</v>
      </c>
      <c r="B149" s="387" t="s">
        <v>120</v>
      </c>
      <c r="C149" s="254">
        <v>118884</v>
      </c>
      <c r="D149" s="254">
        <v>124876</v>
      </c>
      <c r="E149" s="254">
        <v>131172</v>
      </c>
      <c r="F149" s="254">
        <v>137783</v>
      </c>
      <c r="G149" s="254">
        <v>144737</v>
      </c>
    </row>
    <row r="150" spans="1:7" x14ac:dyDescent="0.25">
      <c r="A150" s="388" t="s">
        <v>278</v>
      </c>
      <c r="B150" s="387" t="s">
        <v>124</v>
      </c>
      <c r="C150" s="254">
        <v>123938</v>
      </c>
      <c r="D150" s="254">
        <v>130184</v>
      </c>
      <c r="E150" s="254">
        <v>136746</v>
      </c>
      <c r="F150" s="254">
        <v>143640</v>
      </c>
      <c r="G150" s="254">
        <v>150883</v>
      </c>
    </row>
    <row r="151" spans="1:7" x14ac:dyDescent="0.25">
      <c r="A151" s="388" t="s">
        <v>279</v>
      </c>
      <c r="B151" s="387" t="s">
        <v>124</v>
      </c>
      <c r="C151" s="254">
        <v>123938</v>
      </c>
      <c r="D151" s="254">
        <v>130184</v>
      </c>
      <c r="E151" s="254">
        <v>136746</v>
      </c>
      <c r="F151" s="254">
        <v>143640</v>
      </c>
      <c r="G151" s="254">
        <v>150883</v>
      </c>
    </row>
    <row r="152" spans="1:7" x14ac:dyDescent="0.25">
      <c r="A152" s="388" t="s">
        <v>280</v>
      </c>
      <c r="B152" s="387" t="s">
        <v>126</v>
      </c>
      <c r="C152" s="254">
        <v>106113</v>
      </c>
      <c r="D152" s="254">
        <v>111467</v>
      </c>
      <c r="E152" s="254">
        <v>117086</v>
      </c>
      <c r="F152" s="254">
        <v>122989</v>
      </c>
      <c r="G152" s="254">
        <v>129192</v>
      </c>
    </row>
    <row r="153" spans="1:7" x14ac:dyDescent="0.25">
      <c r="A153" s="388" t="s">
        <v>281</v>
      </c>
      <c r="B153" s="387" t="s">
        <v>126</v>
      </c>
      <c r="C153" s="254">
        <v>106113</v>
      </c>
      <c r="D153" s="254">
        <v>111467</v>
      </c>
      <c r="E153" s="254">
        <v>117086</v>
      </c>
      <c r="F153" s="254">
        <v>122989</v>
      </c>
      <c r="G153" s="254">
        <v>129192</v>
      </c>
    </row>
    <row r="154" spans="1:7" x14ac:dyDescent="0.25">
      <c r="A154" s="388" t="s">
        <v>282</v>
      </c>
      <c r="B154" s="387" t="s">
        <v>124</v>
      </c>
      <c r="C154" s="254">
        <v>123938</v>
      </c>
      <c r="D154" s="254">
        <v>130184</v>
      </c>
      <c r="E154" s="254">
        <v>136746</v>
      </c>
      <c r="F154" s="254">
        <v>143640</v>
      </c>
      <c r="G154" s="254">
        <v>150883</v>
      </c>
    </row>
    <row r="155" spans="1:7" x14ac:dyDescent="0.25">
      <c r="A155" s="388" t="s">
        <v>283</v>
      </c>
      <c r="B155" s="387" t="s">
        <v>124</v>
      </c>
      <c r="C155" s="254">
        <v>123938</v>
      </c>
      <c r="D155" s="254">
        <v>130184</v>
      </c>
      <c r="E155" s="254">
        <v>136746</v>
      </c>
      <c r="F155" s="254">
        <v>143640</v>
      </c>
      <c r="G155" s="254">
        <v>150883</v>
      </c>
    </row>
    <row r="156" spans="1:7" x14ac:dyDescent="0.25">
      <c r="A156" s="388" t="s">
        <v>284</v>
      </c>
      <c r="B156" s="387" t="s">
        <v>126</v>
      </c>
      <c r="C156" s="254">
        <v>106113</v>
      </c>
      <c r="D156" s="254">
        <v>111467</v>
      </c>
      <c r="E156" s="254">
        <v>117086</v>
      </c>
      <c r="F156" s="254">
        <v>122989</v>
      </c>
      <c r="G156" s="254">
        <v>129192</v>
      </c>
    </row>
    <row r="157" spans="1:7" x14ac:dyDescent="0.25">
      <c r="A157" s="388" t="s">
        <v>285</v>
      </c>
      <c r="B157" s="387" t="s">
        <v>120</v>
      </c>
      <c r="C157" s="254">
        <v>118884</v>
      </c>
      <c r="D157" s="254">
        <v>124876</v>
      </c>
      <c r="E157" s="254">
        <v>131172</v>
      </c>
      <c r="F157" s="254">
        <v>137783</v>
      </c>
      <c r="G157" s="254">
        <v>144737</v>
      </c>
    </row>
    <row r="158" spans="1:7" x14ac:dyDescent="0.25">
      <c r="A158" s="388" t="s">
        <v>286</v>
      </c>
      <c r="B158" s="387" t="s">
        <v>118</v>
      </c>
      <c r="C158" s="254">
        <v>135771</v>
      </c>
      <c r="D158" s="254">
        <v>142616</v>
      </c>
      <c r="E158" s="254">
        <v>149806</v>
      </c>
      <c r="F158" s="254">
        <v>157359</v>
      </c>
      <c r="G158" s="254">
        <v>165296</v>
      </c>
    </row>
    <row r="159" spans="1:7" x14ac:dyDescent="0.25">
      <c r="A159" s="388" t="s">
        <v>287</v>
      </c>
      <c r="B159" s="387" t="s">
        <v>120</v>
      </c>
      <c r="C159" s="254">
        <v>118884</v>
      </c>
      <c r="D159" s="254">
        <v>124876</v>
      </c>
      <c r="E159" s="254">
        <v>131172</v>
      </c>
      <c r="F159" s="254">
        <v>137783</v>
      </c>
      <c r="G159" s="254">
        <v>144737</v>
      </c>
    </row>
    <row r="160" spans="1:7" x14ac:dyDescent="0.25">
      <c r="A160" s="388" t="s">
        <v>288</v>
      </c>
      <c r="B160" s="387" t="s">
        <v>120</v>
      </c>
      <c r="C160" s="254">
        <v>118884</v>
      </c>
      <c r="D160" s="254">
        <v>124876</v>
      </c>
      <c r="E160" s="254">
        <v>131172</v>
      </c>
      <c r="F160" s="254">
        <v>137783</v>
      </c>
      <c r="G160" s="254">
        <v>144737</v>
      </c>
    </row>
    <row r="161" spans="1:7" x14ac:dyDescent="0.25">
      <c r="A161" s="388" t="s">
        <v>289</v>
      </c>
      <c r="B161" s="387" t="s">
        <v>118</v>
      </c>
      <c r="C161" s="254">
        <v>135771</v>
      </c>
      <c r="D161" s="254">
        <v>142616</v>
      </c>
      <c r="E161" s="254">
        <v>149806</v>
      </c>
      <c r="F161" s="254">
        <v>157359</v>
      </c>
      <c r="G161" s="254">
        <v>165296</v>
      </c>
    </row>
    <row r="162" spans="1:7" x14ac:dyDescent="0.25">
      <c r="A162" s="388" t="s">
        <v>290</v>
      </c>
      <c r="B162" s="387" t="s">
        <v>128</v>
      </c>
      <c r="C162" s="254">
        <v>109969</v>
      </c>
      <c r="D162" s="254">
        <v>115516</v>
      </c>
      <c r="E162" s="254">
        <v>121344</v>
      </c>
      <c r="F162" s="254">
        <v>127459</v>
      </c>
      <c r="G162" s="254">
        <v>133888</v>
      </c>
    </row>
    <row r="163" spans="1:7" x14ac:dyDescent="0.25">
      <c r="A163" s="388" t="s">
        <v>291</v>
      </c>
      <c r="B163" s="387" t="s">
        <v>126</v>
      </c>
      <c r="C163" s="254">
        <v>106113</v>
      </c>
      <c r="D163" s="254">
        <v>111467</v>
      </c>
      <c r="E163" s="254">
        <v>117086</v>
      </c>
      <c r="F163" s="254">
        <v>122989</v>
      </c>
      <c r="G163" s="254">
        <v>129192</v>
      </c>
    </row>
    <row r="164" spans="1:7" x14ac:dyDescent="0.25">
      <c r="A164" s="388" t="s">
        <v>292</v>
      </c>
      <c r="B164" s="387" t="s">
        <v>156</v>
      </c>
      <c r="C164" s="254">
        <v>88426</v>
      </c>
      <c r="D164" s="254">
        <v>92886</v>
      </c>
      <c r="E164" s="254">
        <v>97570</v>
      </c>
      <c r="F164" s="254">
        <v>102488</v>
      </c>
      <c r="G164" s="254">
        <v>107655</v>
      </c>
    </row>
    <row r="165" spans="1:7" x14ac:dyDescent="0.25">
      <c r="A165" s="388" t="s">
        <v>293</v>
      </c>
      <c r="B165" s="387" t="s">
        <v>137</v>
      </c>
      <c r="C165" s="254">
        <v>114229</v>
      </c>
      <c r="D165" s="254">
        <v>119988</v>
      </c>
      <c r="E165" s="254">
        <v>126039</v>
      </c>
      <c r="F165" s="254">
        <v>132393</v>
      </c>
      <c r="G165" s="254">
        <v>139069</v>
      </c>
    </row>
    <row r="166" spans="1:7" x14ac:dyDescent="0.25">
      <c r="A166" s="388" t="s">
        <v>294</v>
      </c>
      <c r="B166" s="387" t="s">
        <v>135</v>
      </c>
      <c r="C166" s="254">
        <v>129656</v>
      </c>
      <c r="D166" s="254">
        <v>136190</v>
      </c>
      <c r="E166" s="254">
        <v>143057</v>
      </c>
      <c r="F166" s="254">
        <v>150276</v>
      </c>
      <c r="G166" s="254">
        <v>157850</v>
      </c>
    </row>
    <row r="167" spans="1:7" x14ac:dyDescent="0.25">
      <c r="A167" s="388" t="s">
        <v>295</v>
      </c>
      <c r="B167" s="387" t="s">
        <v>135</v>
      </c>
      <c r="C167" s="254">
        <v>129656</v>
      </c>
      <c r="D167" s="254">
        <v>136190</v>
      </c>
      <c r="E167" s="254">
        <v>143057</v>
      </c>
      <c r="F167" s="254">
        <v>150276</v>
      </c>
      <c r="G167" s="254">
        <v>157850</v>
      </c>
    </row>
    <row r="168" spans="1:7" x14ac:dyDescent="0.25">
      <c r="A168" s="388" t="s">
        <v>296</v>
      </c>
      <c r="B168" s="387" t="s">
        <v>124</v>
      </c>
      <c r="C168" s="254">
        <v>123938</v>
      </c>
      <c r="D168" s="254">
        <v>130184</v>
      </c>
      <c r="E168" s="254">
        <v>136746</v>
      </c>
      <c r="F168" s="254">
        <v>143640</v>
      </c>
      <c r="G168" s="254">
        <v>150883</v>
      </c>
    </row>
    <row r="169" spans="1:7" x14ac:dyDescent="0.25">
      <c r="A169" s="388" t="s">
        <v>336</v>
      </c>
      <c r="B169" s="387" t="s">
        <v>137</v>
      </c>
      <c r="C169" s="254">
        <v>114229</v>
      </c>
      <c r="D169" s="254">
        <v>119988</v>
      </c>
      <c r="E169" s="254">
        <v>126039</v>
      </c>
      <c r="F169" s="254">
        <v>132393</v>
      </c>
      <c r="G169" s="254">
        <v>139069</v>
      </c>
    </row>
    <row r="170" spans="1:7" x14ac:dyDescent="0.25">
      <c r="A170" s="388" t="s">
        <v>297</v>
      </c>
      <c r="B170" s="387" t="s">
        <v>137</v>
      </c>
      <c r="C170" s="254">
        <v>114229</v>
      </c>
      <c r="D170" s="254">
        <v>119988</v>
      </c>
      <c r="E170" s="254">
        <v>126039</v>
      </c>
      <c r="F170" s="254">
        <v>132393</v>
      </c>
      <c r="G170" s="254">
        <v>139069</v>
      </c>
    </row>
    <row r="171" spans="1:7" x14ac:dyDescent="0.25">
      <c r="A171" s="388" t="s">
        <v>298</v>
      </c>
      <c r="B171" s="387" t="s">
        <v>120</v>
      </c>
      <c r="C171" s="254">
        <v>118884</v>
      </c>
      <c r="D171" s="254">
        <v>124876</v>
      </c>
      <c r="E171" s="254">
        <v>131172</v>
      </c>
      <c r="F171" s="254">
        <v>137783</v>
      </c>
      <c r="G171" s="254">
        <v>144737</v>
      </c>
    </row>
    <row r="172" spans="1:7" x14ac:dyDescent="0.25">
      <c r="A172" s="388" t="s">
        <v>299</v>
      </c>
      <c r="B172" s="387" t="s">
        <v>120</v>
      </c>
      <c r="C172" s="254">
        <v>118884</v>
      </c>
      <c r="D172" s="254">
        <v>124876</v>
      </c>
      <c r="E172" s="254">
        <v>131172</v>
      </c>
      <c r="F172" s="254">
        <v>137783</v>
      </c>
      <c r="G172" s="254">
        <v>144737</v>
      </c>
    </row>
    <row r="173" spans="1:7" x14ac:dyDescent="0.25">
      <c r="A173" s="388" t="s">
        <v>300</v>
      </c>
      <c r="B173" s="387" t="s">
        <v>135</v>
      </c>
      <c r="C173" s="254">
        <v>129656</v>
      </c>
      <c r="D173" s="254">
        <v>136190</v>
      </c>
      <c r="E173" s="254">
        <v>143057</v>
      </c>
      <c r="F173" s="254">
        <v>150276</v>
      </c>
      <c r="G173" s="254">
        <v>157850</v>
      </c>
    </row>
    <row r="174" spans="1:7" x14ac:dyDescent="0.25">
      <c r="A174" s="388" t="s">
        <v>301</v>
      </c>
      <c r="B174" s="387" t="s">
        <v>120</v>
      </c>
      <c r="C174" s="254">
        <v>118884</v>
      </c>
      <c r="D174" s="254">
        <v>124876</v>
      </c>
      <c r="E174" s="254">
        <v>131172</v>
      </c>
      <c r="F174" s="254">
        <v>137783</v>
      </c>
      <c r="G174" s="254">
        <v>144737</v>
      </c>
    </row>
    <row r="175" spans="1:7" x14ac:dyDescent="0.25">
      <c r="A175" s="388" t="s">
        <v>302</v>
      </c>
      <c r="B175" s="387" t="s">
        <v>120</v>
      </c>
      <c r="C175" s="254">
        <v>118884</v>
      </c>
      <c r="D175" s="254">
        <v>124876</v>
      </c>
      <c r="E175" s="254">
        <v>131172</v>
      </c>
      <c r="F175" s="254">
        <v>137783</v>
      </c>
      <c r="G175" s="254">
        <v>144737</v>
      </c>
    </row>
    <row r="176" spans="1:7" x14ac:dyDescent="0.25">
      <c r="A176" s="388" t="s">
        <v>303</v>
      </c>
      <c r="B176" s="387" t="s">
        <v>128</v>
      </c>
      <c r="C176" s="254">
        <v>109969</v>
      </c>
      <c r="D176" s="254">
        <v>115516</v>
      </c>
      <c r="E176" s="254">
        <v>121344</v>
      </c>
      <c r="F176" s="254">
        <v>127459</v>
      </c>
      <c r="G176" s="254">
        <v>133888</v>
      </c>
    </row>
    <row r="177" spans="1:7" x14ac:dyDescent="0.25">
      <c r="A177" s="388" t="s">
        <v>304</v>
      </c>
      <c r="B177" s="387" t="s">
        <v>156</v>
      </c>
      <c r="C177" s="254">
        <v>88426</v>
      </c>
      <c r="D177" s="254">
        <v>92886</v>
      </c>
      <c r="E177" s="254">
        <v>97570</v>
      </c>
      <c r="F177" s="254">
        <v>102488</v>
      </c>
      <c r="G177" s="254">
        <v>107655</v>
      </c>
    </row>
    <row r="178" spans="1:7" x14ac:dyDescent="0.25">
      <c r="A178" s="388" t="s">
        <v>305</v>
      </c>
      <c r="B178" s="387" t="s">
        <v>120</v>
      </c>
      <c r="C178" s="254">
        <v>118884</v>
      </c>
      <c r="D178" s="254">
        <v>124876</v>
      </c>
      <c r="E178" s="254">
        <v>131172</v>
      </c>
      <c r="F178" s="254">
        <v>137783</v>
      </c>
      <c r="G178" s="254">
        <v>144737</v>
      </c>
    </row>
    <row r="179" spans="1:7" x14ac:dyDescent="0.25">
      <c r="A179" s="388" t="s">
        <v>306</v>
      </c>
      <c r="B179" s="387" t="s">
        <v>130</v>
      </c>
      <c r="C179" s="254">
        <v>158716</v>
      </c>
      <c r="D179" s="254">
        <v>166721</v>
      </c>
      <c r="E179" s="254">
        <v>175123</v>
      </c>
      <c r="F179" s="254">
        <v>183955</v>
      </c>
      <c r="G179" s="254">
        <v>193235</v>
      </c>
    </row>
    <row r="180" spans="1:7" x14ac:dyDescent="0.25">
      <c r="A180" s="388" t="s">
        <v>307</v>
      </c>
      <c r="B180" s="387" t="s">
        <v>126</v>
      </c>
      <c r="C180" s="254">
        <v>106113</v>
      </c>
      <c r="D180" s="254">
        <v>111467</v>
      </c>
      <c r="E180" s="254">
        <v>117086</v>
      </c>
      <c r="F180" s="254">
        <v>122989</v>
      </c>
      <c r="G180" s="254">
        <v>129192</v>
      </c>
    </row>
    <row r="181" spans="1:7" x14ac:dyDescent="0.25">
      <c r="A181" s="388" t="s">
        <v>308</v>
      </c>
      <c r="B181" s="387" t="s">
        <v>149</v>
      </c>
      <c r="C181" s="254">
        <v>198863</v>
      </c>
      <c r="D181" s="254">
        <v>208891</v>
      </c>
      <c r="E181" s="254">
        <v>219425</v>
      </c>
      <c r="F181" s="254">
        <v>230485</v>
      </c>
      <c r="G181" s="254">
        <v>242110</v>
      </c>
    </row>
    <row r="182" spans="1:7" x14ac:dyDescent="0.25">
      <c r="A182" s="388" t="s">
        <v>309</v>
      </c>
      <c r="B182" s="387" t="s">
        <v>149</v>
      </c>
      <c r="C182" s="254">
        <v>198863</v>
      </c>
      <c r="D182" s="254">
        <v>208891</v>
      </c>
      <c r="E182" s="254">
        <v>219425</v>
      </c>
      <c r="F182" s="254">
        <v>230485</v>
      </c>
      <c r="G182" s="254">
        <v>242110</v>
      </c>
    </row>
    <row r="183" spans="1:7" x14ac:dyDescent="0.25">
      <c r="A183" s="388" t="s">
        <v>310</v>
      </c>
      <c r="B183" s="387" t="s">
        <v>149</v>
      </c>
      <c r="C183" s="254">
        <v>198863</v>
      </c>
      <c r="D183" s="254">
        <v>208891</v>
      </c>
      <c r="E183" s="254">
        <v>219425</v>
      </c>
      <c r="F183" s="254">
        <v>230485</v>
      </c>
      <c r="G183" s="254">
        <v>242110</v>
      </c>
    </row>
    <row r="184" spans="1:7" x14ac:dyDescent="0.25">
      <c r="A184" s="388" t="s">
        <v>311</v>
      </c>
      <c r="B184" s="387" t="s">
        <v>149</v>
      </c>
      <c r="C184" s="254">
        <v>198863</v>
      </c>
      <c r="D184" s="254">
        <v>208891</v>
      </c>
      <c r="E184" s="254">
        <v>219425</v>
      </c>
      <c r="F184" s="254">
        <v>230485</v>
      </c>
      <c r="G184" s="254">
        <v>242110</v>
      </c>
    </row>
    <row r="185" spans="1:7" x14ac:dyDescent="0.25">
      <c r="A185" s="388" t="s">
        <v>312</v>
      </c>
      <c r="B185" s="387" t="s">
        <v>149</v>
      </c>
      <c r="C185" s="254">
        <v>198863</v>
      </c>
      <c r="D185" s="254">
        <v>208891</v>
      </c>
      <c r="E185" s="254">
        <v>219425</v>
      </c>
      <c r="F185" s="254">
        <v>230485</v>
      </c>
      <c r="G185" s="254">
        <v>242110</v>
      </c>
    </row>
    <row r="186" spans="1:7" x14ac:dyDescent="0.25">
      <c r="A186" s="388" t="s">
        <v>313</v>
      </c>
      <c r="B186" s="387" t="s">
        <v>156</v>
      </c>
      <c r="C186" s="254">
        <v>88426</v>
      </c>
      <c r="D186" s="254">
        <v>92886</v>
      </c>
      <c r="E186" s="254">
        <v>97570</v>
      </c>
      <c r="F186" s="254">
        <v>102488</v>
      </c>
      <c r="G186" s="254">
        <v>107655</v>
      </c>
    </row>
  </sheetData>
  <sheetProtection algorithmName="SHA-512" hashValue="W3dk3CLrux/I4rJw4pMMRhqglkOz/39G9EUzE8WObAfmLPDc8ju8F6i97qMB5IyZNQK6HALwjtWaNixsJrs4yA==" saltValue="cijOB3DOfQl8tSxN2rbzFw==" spinCount="100000" sheet="1" selectLockedCells="1" selectUnlockedCells="1"/>
  <pageMargins left="0.7" right="0.7" top="0.75" bottom="0.75" header="0.3" footer="0.3"/>
  <pageSetup scale="3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7"/>
  </sheetPr>
  <dimension ref="A1:X181"/>
  <sheetViews>
    <sheetView workbookViewId="0"/>
  </sheetViews>
  <sheetFormatPr defaultRowHeight="13.2" x14ac:dyDescent="0.25"/>
  <cols>
    <col min="1" max="1" width="51.6640625" customWidth="1"/>
  </cols>
  <sheetData>
    <row r="1" spans="1:24" x14ac:dyDescent="0.25">
      <c r="A1" s="272" t="s">
        <v>337</v>
      </c>
      <c r="B1" s="272" t="s">
        <v>110</v>
      </c>
      <c r="C1" s="273" t="s">
        <v>111</v>
      </c>
      <c r="D1" s="273" t="s">
        <v>112</v>
      </c>
      <c r="E1" s="273" t="s">
        <v>113</v>
      </c>
      <c r="F1" s="273" t="s">
        <v>114</v>
      </c>
      <c r="G1" s="273" t="s">
        <v>338</v>
      </c>
    </row>
    <row r="2" spans="1:24" ht="15" customHeight="1" x14ac:dyDescent="0.25">
      <c r="A2" s="337" t="s">
        <v>339</v>
      </c>
      <c r="B2" s="338" t="s">
        <v>340</v>
      </c>
      <c r="C2" s="339">
        <v>82764</v>
      </c>
      <c r="D2" s="339">
        <v>86844</v>
      </c>
      <c r="E2" s="339">
        <v>91296</v>
      </c>
      <c r="F2" s="339">
        <v>95880</v>
      </c>
      <c r="G2" s="339">
        <v>100716</v>
      </c>
      <c r="I2" s="71" t="s">
        <v>341</v>
      </c>
    </row>
    <row r="3" spans="1:24" ht="15" customHeight="1" x14ac:dyDescent="0.25">
      <c r="A3" s="337" t="s">
        <v>342</v>
      </c>
      <c r="B3" s="338" t="s">
        <v>343</v>
      </c>
      <c r="C3" s="339">
        <v>75060</v>
      </c>
      <c r="D3" s="339">
        <v>78852</v>
      </c>
      <c r="E3" s="339">
        <v>82836</v>
      </c>
      <c r="F3" s="339">
        <v>86988</v>
      </c>
      <c r="G3" s="339">
        <v>91380</v>
      </c>
      <c r="I3" s="488" t="s">
        <v>344</v>
      </c>
      <c r="J3" s="488"/>
      <c r="K3" s="488"/>
      <c r="L3" s="488"/>
      <c r="M3" s="488"/>
      <c r="N3" s="488"/>
      <c r="O3" s="488"/>
      <c r="P3" s="488"/>
      <c r="Q3" s="488"/>
      <c r="R3" s="488"/>
      <c r="S3" s="488"/>
      <c r="T3" s="488"/>
      <c r="U3" s="488"/>
      <c r="V3" s="488"/>
      <c r="W3" s="488"/>
      <c r="X3" s="488"/>
    </row>
    <row r="4" spans="1:24" ht="15" customHeight="1" x14ac:dyDescent="0.25">
      <c r="A4" s="337" t="s">
        <v>345</v>
      </c>
      <c r="B4" s="338" t="s">
        <v>340</v>
      </c>
      <c r="C4" s="339">
        <v>82764</v>
      </c>
      <c r="D4" s="339">
        <v>86844</v>
      </c>
      <c r="E4" s="339">
        <v>91296</v>
      </c>
      <c r="F4" s="339">
        <v>95880</v>
      </c>
      <c r="G4" s="339">
        <v>100716</v>
      </c>
    </row>
    <row r="5" spans="1:24" ht="15" customHeight="1" x14ac:dyDescent="0.25">
      <c r="A5" s="340" t="s">
        <v>346</v>
      </c>
      <c r="B5" s="341" t="s">
        <v>347</v>
      </c>
      <c r="C5" s="342">
        <v>86460</v>
      </c>
      <c r="D5" s="342">
        <v>90768</v>
      </c>
      <c r="E5" s="342">
        <v>95412</v>
      </c>
      <c r="F5" s="342">
        <v>100152</v>
      </c>
      <c r="G5" s="342">
        <v>105252</v>
      </c>
    </row>
    <row r="6" spans="1:24" ht="15" customHeight="1" x14ac:dyDescent="0.25">
      <c r="A6" s="340" t="s">
        <v>348</v>
      </c>
      <c r="B6" s="341" t="s">
        <v>349</v>
      </c>
      <c r="C6" s="342">
        <v>90084</v>
      </c>
      <c r="D6" s="342">
        <v>94644</v>
      </c>
      <c r="E6" s="342">
        <v>99384</v>
      </c>
      <c r="F6" s="342">
        <v>104388</v>
      </c>
      <c r="G6" s="342">
        <v>109704</v>
      </c>
    </row>
    <row r="7" spans="1:24" ht="15" customHeight="1" x14ac:dyDescent="0.25">
      <c r="A7" s="337" t="s">
        <v>350</v>
      </c>
      <c r="B7" s="338" t="s">
        <v>343</v>
      </c>
      <c r="C7" s="339">
        <v>75060</v>
      </c>
      <c r="D7" s="339">
        <v>78852</v>
      </c>
      <c r="E7" s="339">
        <v>82836</v>
      </c>
      <c r="F7" s="339">
        <v>86988</v>
      </c>
      <c r="G7" s="339">
        <v>91380</v>
      </c>
    </row>
    <row r="8" spans="1:24" ht="15" customHeight="1" x14ac:dyDescent="0.25">
      <c r="A8" s="340" t="s">
        <v>351</v>
      </c>
      <c r="B8" s="341" t="s">
        <v>352</v>
      </c>
      <c r="C8" s="342">
        <v>71724</v>
      </c>
      <c r="D8" s="342">
        <v>75348</v>
      </c>
      <c r="E8" s="342">
        <v>79164</v>
      </c>
      <c r="F8" s="342">
        <v>83136</v>
      </c>
      <c r="G8" s="342">
        <v>87372</v>
      </c>
    </row>
    <row r="9" spans="1:24" ht="15" customHeight="1" x14ac:dyDescent="0.25">
      <c r="A9" s="340" t="s">
        <v>353</v>
      </c>
      <c r="B9" s="341" t="s">
        <v>347</v>
      </c>
      <c r="C9" s="342">
        <v>86460</v>
      </c>
      <c r="D9" s="342">
        <v>90768</v>
      </c>
      <c r="E9" s="342">
        <v>95412</v>
      </c>
      <c r="F9" s="342">
        <v>100152</v>
      </c>
      <c r="G9" s="342">
        <v>105252</v>
      </c>
    </row>
    <row r="10" spans="1:24" ht="15" customHeight="1" x14ac:dyDescent="0.25">
      <c r="A10" s="337" t="s">
        <v>354</v>
      </c>
      <c r="B10" s="338" t="s">
        <v>355</v>
      </c>
      <c r="C10" s="339">
        <v>79548</v>
      </c>
      <c r="D10" s="339">
        <v>83520</v>
      </c>
      <c r="E10" s="339">
        <v>87780</v>
      </c>
      <c r="F10" s="339">
        <v>92208</v>
      </c>
      <c r="G10" s="339">
        <v>96828</v>
      </c>
    </row>
    <row r="11" spans="1:24" ht="15" customHeight="1" x14ac:dyDescent="0.25">
      <c r="A11" s="337" t="s">
        <v>356</v>
      </c>
      <c r="B11" s="338" t="s">
        <v>340</v>
      </c>
      <c r="C11" s="339">
        <v>82764</v>
      </c>
      <c r="D11" s="339">
        <v>86844</v>
      </c>
      <c r="E11" s="339">
        <v>91296</v>
      </c>
      <c r="F11" s="339">
        <v>95880</v>
      </c>
      <c r="G11" s="339">
        <v>100716</v>
      </c>
    </row>
    <row r="12" spans="1:24" ht="15" customHeight="1" x14ac:dyDescent="0.25">
      <c r="A12" s="337" t="s">
        <v>357</v>
      </c>
      <c r="B12" s="338" t="s">
        <v>343</v>
      </c>
      <c r="C12" s="339">
        <v>75060</v>
      </c>
      <c r="D12" s="339">
        <v>78852</v>
      </c>
      <c r="E12" s="339">
        <v>82836</v>
      </c>
      <c r="F12" s="339">
        <v>86988</v>
      </c>
      <c r="G12" s="339">
        <v>91380</v>
      </c>
    </row>
    <row r="13" spans="1:24" ht="15" customHeight="1" x14ac:dyDescent="0.25">
      <c r="A13" s="337" t="s">
        <v>358</v>
      </c>
      <c r="B13" s="338" t="s">
        <v>359</v>
      </c>
      <c r="C13" s="339">
        <v>68724</v>
      </c>
      <c r="D13" s="339">
        <v>72192</v>
      </c>
      <c r="E13" s="339">
        <v>75792</v>
      </c>
      <c r="F13" s="339">
        <v>79644</v>
      </c>
      <c r="G13" s="339">
        <v>83676</v>
      </c>
    </row>
    <row r="14" spans="1:24" ht="15" customHeight="1" x14ac:dyDescent="0.25">
      <c r="A14" s="337" t="s">
        <v>360</v>
      </c>
      <c r="B14" s="338" t="s">
        <v>361</v>
      </c>
      <c r="C14" s="339">
        <v>116376</v>
      </c>
      <c r="D14" s="339">
        <v>122244</v>
      </c>
      <c r="E14" s="339">
        <v>128424</v>
      </c>
      <c r="F14" s="339">
        <v>134868</v>
      </c>
      <c r="G14" s="339">
        <v>141648</v>
      </c>
    </row>
    <row r="15" spans="1:24" ht="15" customHeight="1" x14ac:dyDescent="0.25">
      <c r="A15" s="337" t="s">
        <v>362</v>
      </c>
      <c r="B15" s="338" t="s">
        <v>361</v>
      </c>
      <c r="C15" s="339">
        <v>116376</v>
      </c>
      <c r="D15" s="339">
        <v>122244</v>
      </c>
      <c r="E15" s="339">
        <v>128424</v>
      </c>
      <c r="F15" s="339">
        <v>134868</v>
      </c>
      <c r="G15" s="339">
        <v>141648</v>
      </c>
    </row>
    <row r="16" spans="1:24" ht="15" customHeight="1" x14ac:dyDescent="0.25">
      <c r="A16" s="337" t="s">
        <v>363</v>
      </c>
      <c r="B16" s="338" t="s">
        <v>347</v>
      </c>
      <c r="C16" s="339">
        <v>86460</v>
      </c>
      <c r="D16" s="339">
        <v>90768</v>
      </c>
      <c r="E16" s="339">
        <v>95412</v>
      </c>
      <c r="F16" s="339">
        <v>100152</v>
      </c>
      <c r="G16" s="339">
        <v>105252</v>
      </c>
    </row>
    <row r="17" spans="1:7" ht="15" customHeight="1" x14ac:dyDescent="0.25">
      <c r="A17" s="337" t="s">
        <v>364</v>
      </c>
      <c r="B17" s="338" t="s">
        <v>340</v>
      </c>
      <c r="C17" s="339">
        <v>82764</v>
      </c>
      <c r="D17" s="339">
        <v>86844</v>
      </c>
      <c r="E17" s="339">
        <v>91296</v>
      </c>
      <c r="F17" s="339">
        <v>95880</v>
      </c>
      <c r="G17" s="339">
        <v>100716</v>
      </c>
    </row>
    <row r="18" spans="1:7" ht="15" customHeight="1" x14ac:dyDescent="0.25">
      <c r="A18" s="337" t="s">
        <v>365</v>
      </c>
      <c r="B18" s="338" t="s">
        <v>355</v>
      </c>
      <c r="C18" s="339">
        <v>79548</v>
      </c>
      <c r="D18" s="339">
        <v>83520</v>
      </c>
      <c r="E18" s="339">
        <v>87780</v>
      </c>
      <c r="F18" s="339">
        <v>92208</v>
      </c>
      <c r="G18" s="339">
        <v>96828</v>
      </c>
    </row>
    <row r="19" spans="1:7" ht="15" customHeight="1" x14ac:dyDescent="0.25">
      <c r="A19" s="337" t="s">
        <v>366</v>
      </c>
      <c r="B19" s="338" t="s">
        <v>367</v>
      </c>
      <c r="C19" s="339">
        <v>62400</v>
      </c>
      <c r="D19" s="339">
        <v>65544</v>
      </c>
      <c r="E19" s="339">
        <v>68856</v>
      </c>
      <c r="F19" s="339">
        <v>72288</v>
      </c>
      <c r="G19" s="339">
        <v>75924</v>
      </c>
    </row>
    <row r="20" spans="1:7" ht="15" customHeight="1" x14ac:dyDescent="0.25">
      <c r="A20" s="337" t="s">
        <v>368</v>
      </c>
      <c r="B20" s="338" t="s">
        <v>369</v>
      </c>
      <c r="C20" s="339">
        <v>59484</v>
      </c>
      <c r="D20" s="339">
        <v>62568</v>
      </c>
      <c r="E20" s="339">
        <v>65664</v>
      </c>
      <c r="F20" s="339">
        <v>68964</v>
      </c>
      <c r="G20" s="339">
        <v>72468</v>
      </c>
    </row>
    <row r="21" spans="1:7" ht="15" customHeight="1" x14ac:dyDescent="0.25">
      <c r="A21" s="337" t="s">
        <v>370</v>
      </c>
      <c r="B21" s="338" t="s">
        <v>371</v>
      </c>
      <c r="C21" s="339">
        <v>94392</v>
      </c>
      <c r="D21" s="339">
        <v>99168</v>
      </c>
      <c r="E21" s="339">
        <v>104148</v>
      </c>
      <c r="F21" s="339">
        <v>109416</v>
      </c>
      <c r="G21" s="339">
        <v>114948</v>
      </c>
    </row>
    <row r="22" spans="1:7" ht="15" customHeight="1" x14ac:dyDescent="0.25">
      <c r="A22" s="337" t="s">
        <v>372</v>
      </c>
      <c r="B22" s="338" t="s">
        <v>361</v>
      </c>
      <c r="C22" s="339">
        <v>116376</v>
      </c>
      <c r="D22" s="339">
        <v>122244</v>
      </c>
      <c r="E22" s="339">
        <v>128424</v>
      </c>
      <c r="F22" s="339">
        <v>134868</v>
      </c>
      <c r="G22" s="339">
        <v>141648</v>
      </c>
    </row>
    <row r="23" spans="1:7" ht="15" customHeight="1" x14ac:dyDescent="0.25">
      <c r="A23" s="337" t="s">
        <v>373</v>
      </c>
      <c r="B23" s="338" t="s">
        <v>343</v>
      </c>
      <c r="C23" s="339">
        <v>75060</v>
      </c>
      <c r="D23" s="339">
        <v>78852</v>
      </c>
      <c r="E23" s="339">
        <v>82836</v>
      </c>
      <c r="F23" s="339">
        <v>86988</v>
      </c>
      <c r="G23" s="339">
        <v>91380</v>
      </c>
    </row>
    <row r="24" spans="1:7" ht="15" customHeight="1" x14ac:dyDescent="0.25">
      <c r="A24" s="337" t="s">
        <v>374</v>
      </c>
      <c r="B24" s="338" t="s">
        <v>375</v>
      </c>
      <c r="C24" s="339">
        <v>56928</v>
      </c>
      <c r="D24" s="339">
        <v>59820</v>
      </c>
      <c r="E24" s="339">
        <v>62808</v>
      </c>
      <c r="F24" s="339">
        <v>65952</v>
      </c>
      <c r="G24" s="339">
        <v>69300</v>
      </c>
    </row>
    <row r="25" spans="1:7" ht="15" customHeight="1" x14ac:dyDescent="0.25">
      <c r="A25" s="337" t="s">
        <v>376</v>
      </c>
      <c r="B25" s="338" t="s">
        <v>367</v>
      </c>
      <c r="C25" s="339">
        <v>62400</v>
      </c>
      <c r="D25" s="339">
        <v>65544</v>
      </c>
      <c r="E25" s="339">
        <v>68856</v>
      </c>
      <c r="F25" s="339">
        <v>72288</v>
      </c>
      <c r="G25" s="339">
        <v>75924</v>
      </c>
    </row>
    <row r="26" spans="1:7" ht="15" customHeight="1" x14ac:dyDescent="0.25">
      <c r="A26" s="337" t="s">
        <v>377</v>
      </c>
      <c r="B26" s="338" t="s">
        <v>349</v>
      </c>
      <c r="C26" s="339">
        <v>90084</v>
      </c>
      <c r="D26" s="339">
        <v>94644</v>
      </c>
      <c r="E26" s="339">
        <v>99384</v>
      </c>
      <c r="F26" s="339">
        <v>104388</v>
      </c>
      <c r="G26" s="339">
        <v>109704</v>
      </c>
    </row>
    <row r="27" spans="1:7" ht="15" customHeight="1" x14ac:dyDescent="0.25">
      <c r="A27" s="337" t="s">
        <v>378</v>
      </c>
      <c r="B27" s="338" t="s">
        <v>340</v>
      </c>
      <c r="C27" s="339">
        <v>82764</v>
      </c>
      <c r="D27" s="339">
        <v>86844</v>
      </c>
      <c r="E27" s="339">
        <v>91296</v>
      </c>
      <c r="F27" s="339">
        <v>95880</v>
      </c>
      <c r="G27" s="339">
        <v>100716</v>
      </c>
    </row>
    <row r="28" spans="1:7" ht="15" customHeight="1" x14ac:dyDescent="0.25">
      <c r="A28" s="337" t="s">
        <v>379</v>
      </c>
      <c r="B28" s="338" t="s">
        <v>340</v>
      </c>
      <c r="C28" s="339">
        <v>82764</v>
      </c>
      <c r="D28" s="339">
        <v>86844</v>
      </c>
      <c r="E28" s="339">
        <v>91296</v>
      </c>
      <c r="F28" s="339">
        <v>95880</v>
      </c>
      <c r="G28" s="339">
        <v>100716</v>
      </c>
    </row>
    <row r="29" spans="1:7" ht="15" customHeight="1" x14ac:dyDescent="0.25">
      <c r="A29" s="337" t="s">
        <v>380</v>
      </c>
      <c r="B29" s="338" t="s">
        <v>340</v>
      </c>
      <c r="C29" s="339">
        <v>82764</v>
      </c>
      <c r="D29" s="339">
        <v>86844</v>
      </c>
      <c r="E29" s="339">
        <v>91296</v>
      </c>
      <c r="F29" s="339">
        <v>95880</v>
      </c>
      <c r="G29" s="339">
        <v>100716</v>
      </c>
    </row>
    <row r="30" spans="1:7" ht="15" customHeight="1" x14ac:dyDescent="0.25">
      <c r="A30" s="337" t="s">
        <v>381</v>
      </c>
      <c r="B30" s="338" t="s">
        <v>340</v>
      </c>
      <c r="C30" s="339">
        <v>82764</v>
      </c>
      <c r="D30" s="339">
        <v>86844</v>
      </c>
      <c r="E30" s="339">
        <v>91296</v>
      </c>
      <c r="F30" s="339">
        <v>95880</v>
      </c>
      <c r="G30" s="339">
        <v>100716</v>
      </c>
    </row>
    <row r="31" spans="1:7" ht="15" customHeight="1" x14ac:dyDescent="0.25">
      <c r="A31" s="337" t="s">
        <v>382</v>
      </c>
      <c r="B31" s="338" t="s">
        <v>383</v>
      </c>
      <c r="C31" s="339">
        <v>99204</v>
      </c>
      <c r="D31" s="339">
        <v>104220</v>
      </c>
      <c r="E31" s="339">
        <v>109464</v>
      </c>
      <c r="F31" s="339">
        <v>114996</v>
      </c>
      <c r="G31" s="339">
        <v>120768</v>
      </c>
    </row>
    <row r="32" spans="1:7" ht="15" customHeight="1" x14ac:dyDescent="0.25">
      <c r="A32" s="337" t="s">
        <v>384</v>
      </c>
      <c r="B32" s="338" t="s">
        <v>385</v>
      </c>
      <c r="C32" s="339">
        <v>54156</v>
      </c>
      <c r="D32" s="339">
        <v>56892</v>
      </c>
      <c r="E32" s="339">
        <v>59784</v>
      </c>
      <c r="F32" s="339">
        <v>62796</v>
      </c>
      <c r="G32" s="339">
        <v>65892</v>
      </c>
    </row>
    <row r="33" spans="1:7" ht="15" customHeight="1" x14ac:dyDescent="0.25">
      <c r="A33" s="337" t="s">
        <v>386</v>
      </c>
      <c r="B33" s="338" t="s">
        <v>367</v>
      </c>
      <c r="C33" s="339">
        <v>62400</v>
      </c>
      <c r="D33" s="339">
        <v>65544</v>
      </c>
      <c r="E33" s="339">
        <v>68856</v>
      </c>
      <c r="F33" s="339">
        <v>72288</v>
      </c>
      <c r="G33" s="339">
        <v>75924</v>
      </c>
    </row>
    <row r="34" spans="1:7" ht="15" customHeight="1" x14ac:dyDescent="0.25">
      <c r="A34" s="337" t="s">
        <v>387</v>
      </c>
      <c r="B34" s="338" t="s">
        <v>369</v>
      </c>
      <c r="C34" s="339">
        <v>59484</v>
      </c>
      <c r="D34" s="339">
        <v>62568</v>
      </c>
      <c r="E34" s="339">
        <v>65664</v>
      </c>
      <c r="F34" s="339">
        <v>68964</v>
      </c>
      <c r="G34" s="339">
        <v>72468</v>
      </c>
    </row>
    <row r="35" spans="1:7" ht="15" customHeight="1" x14ac:dyDescent="0.25">
      <c r="A35" s="340" t="s">
        <v>388</v>
      </c>
      <c r="B35" s="341" t="s">
        <v>389</v>
      </c>
      <c r="C35" s="342">
        <v>65676</v>
      </c>
      <c r="D35" s="342">
        <v>69000</v>
      </c>
      <c r="E35" s="342">
        <v>72528</v>
      </c>
      <c r="F35" s="342">
        <v>76128</v>
      </c>
      <c r="G35" s="342">
        <v>79956</v>
      </c>
    </row>
    <row r="36" spans="1:7" ht="15" customHeight="1" x14ac:dyDescent="0.25">
      <c r="A36" s="337" t="s">
        <v>390</v>
      </c>
      <c r="B36" s="338" t="s">
        <v>371</v>
      </c>
      <c r="C36" s="339">
        <v>94392</v>
      </c>
      <c r="D36" s="339">
        <v>99168</v>
      </c>
      <c r="E36" s="339">
        <v>104148</v>
      </c>
      <c r="F36" s="339">
        <v>109416</v>
      </c>
      <c r="G36" s="339">
        <v>114948</v>
      </c>
    </row>
    <row r="37" spans="1:7" ht="15" customHeight="1" x14ac:dyDescent="0.25">
      <c r="A37" s="337" t="s">
        <v>391</v>
      </c>
      <c r="B37" s="338" t="s">
        <v>392</v>
      </c>
      <c r="C37" s="339">
        <v>104472</v>
      </c>
      <c r="D37" s="339">
        <v>109776</v>
      </c>
      <c r="E37" s="339">
        <v>115272</v>
      </c>
      <c r="F37" s="339">
        <v>121068</v>
      </c>
      <c r="G37" s="339">
        <v>127164</v>
      </c>
    </row>
    <row r="38" spans="1:7" ht="15" customHeight="1" x14ac:dyDescent="0.25">
      <c r="A38" s="337" t="s">
        <v>393</v>
      </c>
      <c r="B38" s="338" t="s">
        <v>340</v>
      </c>
      <c r="C38" s="339">
        <v>82764</v>
      </c>
      <c r="D38" s="339">
        <v>86844</v>
      </c>
      <c r="E38" s="339">
        <v>91296</v>
      </c>
      <c r="F38" s="339">
        <v>95880</v>
      </c>
      <c r="G38" s="339">
        <v>100716</v>
      </c>
    </row>
    <row r="39" spans="1:7" ht="15" customHeight="1" x14ac:dyDescent="0.25">
      <c r="A39" s="337" t="s">
        <v>394</v>
      </c>
      <c r="B39" s="338" t="s">
        <v>385</v>
      </c>
      <c r="C39" s="339">
        <v>54156</v>
      </c>
      <c r="D39" s="339">
        <v>56892</v>
      </c>
      <c r="E39" s="339">
        <v>59784</v>
      </c>
      <c r="F39" s="339">
        <v>62796</v>
      </c>
      <c r="G39" s="339">
        <v>65892</v>
      </c>
    </row>
    <row r="40" spans="1:7" ht="15" customHeight="1" x14ac:dyDescent="0.25">
      <c r="A40" s="337" t="s">
        <v>395</v>
      </c>
      <c r="B40" s="338" t="s">
        <v>369</v>
      </c>
      <c r="C40" s="339">
        <v>59484</v>
      </c>
      <c r="D40" s="339">
        <v>62568</v>
      </c>
      <c r="E40" s="339">
        <v>65664</v>
      </c>
      <c r="F40" s="339">
        <v>68964</v>
      </c>
      <c r="G40" s="339">
        <v>72468</v>
      </c>
    </row>
    <row r="41" spans="1:7" ht="15" customHeight="1" x14ac:dyDescent="0.25">
      <c r="A41" s="337" t="s">
        <v>396</v>
      </c>
      <c r="B41" s="338" t="s">
        <v>361</v>
      </c>
      <c r="C41" s="339">
        <v>116376</v>
      </c>
      <c r="D41" s="339">
        <v>122244</v>
      </c>
      <c r="E41" s="339">
        <v>128424</v>
      </c>
      <c r="F41" s="339">
        <v>134868</v>
      </c>
      <c r="G41" s="339">
        <v>141648</v>
      </c>
    </row>
    <row r="42" spans="1:7" ht="15" customHeight="1" x14ac:dyDescent="0.25">
      <c r="A42" s="337" t="s">
        <v>397</v>
      </c>
      <c r="B42" s="338" t="s">
        <v>347</v>
      </c>
      <c r="C42" s="339">
        <v>86460</v>
      </c>
      <c r="D42" s="339">
        <v>90768</v>
      </c>
      <c r="E42" s="339">
        <v>95412</v>
      </c>
      <c r="F42" s="339">
        <v>100152</v>
      </c>
      <c r="G42" s="339">
        <v>105252</v>
      </c>
    </row>
    <row r="43" spans="1:7" ht="15" customHeight="1" x14ac:dyDescent="0.25">
      <c r="A43" s="337" t="s">
        <v>398</v>
      </c>
      <c r="B43" s="338" t="s">
        <v>371</v>
      </c>
      <c r="C43" s="339">
        <v>94392</v>
      </c>
      <c r="D43" s="339">
        <v>99168</v>
      </c>
      <c r="E43" s="339">
        <v>104148</v>
      </c>
      <c r="F43" s="339">
        <v>109416</v>
      </c>
      <c r="G43" s="339">
        <v>114948</v>
      </c>
    </row>
    <row r="44" spans="1:7" ht="15" customHeight="1" x14ac:dyDescent="0.25">
      <c r="A44" s="337" t="s">
        <v>399</v>
      </c>
      <c r="B44" s="338" t="s">
        <v>340</v>
      </c>
      <c r="C44" s="339">
        <v>82764</v>
      </c>
      <c r="D44" s="339">
        <v>86844</v>
      </c>
      <c r="E44" s="339">
        <v>91296</v>
      </c>
      <c r="F44" s="339">
        <v>95880</v>
      </c>
      <c r="G44" s="339">
        <v>100716</v>
      </c>
    </row>
    <row r="45" spans="1:7" ht="15" customHeight="1" x14ac:dyDescent="0.25">
      <c r="A45" s="340" t="s">
        <v>400</v>
      </c>
      <c r="B45" s="341" t="s">
        <v>352</v>
      </c>
      <c r="C45" s="342">
        <v>71724</v>
      </c>
      <c r="D45" s="342">
        <v>75348</v>
      </c>
      <c r="E45" s="342">
        <v>79164</v>
      </c>
      <c r="F45" s="342">
        <v>83136</v>
      </c>
      <c r="G45" s="342">
        <v>87372</v>
      </c>
    </row>
    <row r="46" spans="1:7" ht="15" customHeight="1" x14ac:dyDescent="0.25">
      <c r="A46" s="340" t="s">
        <v>401</v>
      </c>
      <c r="B46" s="341" t="s">
        <v>340</v>
      </c>
      <c r="C46" s="342">
        <v>82764</v>
      </c>
      <c r="D46" s="342">
        <v>86844</v>
      </c>
      <c r="E46" s="342">
        <v>91296</v>
      </c>
      <c r="F46" s="342">
        <v>95880</v>
      </c>
      <c r="G46" s="342">
        <v>100716</v>
      </c>
    </row>
    <row r="47" spans="1:7" ht="15" customHeight="1" x14ac:dyDescent="0.25">
      <c r="A47" s="337" t="s">
        <v>402</v>
      </c>
      <c r="B47" s="338" t="s">
        <v>340</v>
      </c>
      <c r="C47" s="339">
        <v>82764</v>
      </c>
      <c r="D47" s="339">
        <v>86844</v>
      </c>
      <c r="E47" s="339">
        <v>91296</v>
      </c>
      <c r="F47" s="339">
        <v>95880</v>
      </c>
      <c r="G47" s="339">
        <v>100716</v>
      </c>
    </row>
    <row r="48" spans="1:7" ht="15" customHeight="1" x14ac:dyDescent="0.25">
      <c r="A48" s="337" t="s">
        <v>403</v>
      </c>
      <c r="B48" s="338" t="s">
        <v>352</v>
      </c>
      <c r="C48" s="339">
        <v>71724</v>
      </c>
      <c r="D48" s="339">
        <v>75348</v>
      </c>
      <c r="E48" s="339">
        <v>79164</v>
      </c>
      <c r="F48" s="339">
        <v>83136</v>
      </c>
      <c r="G48" s="339">
        <v>87372</v>
      </c>
    </row>
    <row r="49" spans="1:7" ht="15" customHeight="1" x14ac:dyDescent="0.25">
      <c r="A49" s="337" t="s">
        <v>404</v>
      </c>
      <c r="B49" s="338" t="s">
        <v>343</v>
      </c>
      <c r="C49" s="339">
        <v>75060</v>
      </c>
      <c r="D49" s="339">
        <v>78852</v>
      </c>
      <c r="E49" s="339">
        <v>82836</v>
      </c>
      <c r="F49" s="339">
        <v>86988</v>
      </c>
      <c r="G49" s="339">
        <v>91380</v>
      </c>
    </row>
    <row r="50" spans="1:7" ht="15" customHeight="1" x14ac:dyDescent="0.25">
      <c r="A50" s="337" t="s">
        <v>405</v>
      </c>
      <c r="B50" s="338" t="s">
        <v>349</v>
      </c>
      <c r="C50" s="339">
        <v>90084</v>
      </c>
      <c r="D50" s="339">
        <v>94644</v>
      </c>
      <c r="E50" s="339">
        <v>99384</v>
      </c>
      <c r="F50" s="339">
        <v>104388</v>
      </c>
      <c r="G50" s="339">
        <v>109704</v>
      </c>
    </row>
    <row r="51" spans="1:7" ht="15" customHeight="1" x14ac:dyDescent="0.25">
      <c r="A51" s="337" t="s">
        <v>406</v>
      </c>
      <c r="B51" s="338" t="s">
        <v>340</v>
      </c>
      <c r="C51" s="339">
        <v>82764</v>
      </c>
      <c r="D51" s="339">
        <v>86844</v>
      </c>
      <c r="E51" s="339">
        <v>91296</v>
      </c>
      <c r="F51" s="339">
        <v>95880</v>
      </c>
      <c r="G51" s="339">
        <v>100716</v>
      </c>
    </row>
    <row r="52" spans="1:7" ht="15" customHeight="1" x14ac:dyDescent="0.25">
      <c r="A52" s="337" t="s">
        <v>407</v>
      </c>
      <c r="B52" s="338" t="s">
        <v>347</v>
      </c>
      <c r="C52" s="339">
        <v>86460</v>
      </c>
      <c r="D52" s="339">
        <v>90768</v>
      </c>
      <c r="E52" s="339">
        <v>95412</v>
      </c>
      <c r="F52" s="339">
        <v>100152</v>
      </c>
      <c r="G52" s="339">
        <v>105252</v>
      </c>
    </row>
    <row r="53" spans="1:7" ht="15" customHeight="1" x14ac:dyDescent="0.25">
      <c r="A53" s="337" t="s">
        <v>408</v>
      </c>
      <c r="B53" s="338" t="s">
        <v>349</v>
      </c>
      <c r="C53" s="339">
        <v>90084</v>
      </c>
      <c r="D53" s="339">
        <v>94644</v>
      </c>
      <c r="E53" s="339">
        <v>99384</v>
      </c>
      <c r="F53" s="339">
        <v>104388</v>
      </c>
      <c r="G53" s="339">
        <v>109704</v>
      </c>
    </row>
    <row r="54" spans="1:7" ht="15" customHeight="1" x14ac:dyDescent="0.25">
      <c r="A54" s="337" t="s">
        <v>409</v>
      </c>
      <c r="B54" s="338" t="s">
        <v>392</v>
      </c>
      <c r="C54" s="339">
        <v>104472</v>
      </c>
      <c r="D54" s="339">
        <v>109776</v>
      </c>
      <c r="E54" s="339">
        <v>115272</v>
      </c>
      <c r="F54" s="339">
        <v>121068</v>
      </c>
      <c r="G54" s="339">
        <v>127164</v>
      </c>
    </row>
    <row r="55" spans="1:7" ht="15" customHeight="1" x14ac:dyDescent="0.25">
      <c r="A55" s="340" t="s">
        <v>410</v>
      </c>
      <c r="B55" s="341" t="s">
        <v>352</v>
      </c>
      <c r="C55" s="342">
        <v>71724</v>
      </c>
      <c r="D55" s="342">
        <v>75348</v>
      </c>
      <c r="E55" s="342">
        <v>79164</v>
      </c>
      <c r="F55" s="342">
        <v>83136</v>
      </c>
      <c r="G55" s="342">
        <v>87372</v>
      </c>
    </row>
    <row r="56" spans="1:7" ht="15" customHeight="1" x14ac:dyDescent="0.25">
      <c r="A56" s="340" t="s">
        <v>411</v>
      </c>
      <c r="B56" s="341" t="s">
        <v>343</v>
      </c>
      <c r="C56" s="342">
        <v>75060</v>
      </c>
      <c r="D56" s="342">
        <v>78852</v>
      </c>
      <c r="E56" s="342">
        <v>82836</v>
      </c>
      <c r="F56" s="342">
        <v>86988</v>
      </c>
      <c r="G56" s="342">
        <v>91380</v>
      </c>
    </row>
    <row r="57" spans="1:7" ht="15" customHeight="1" x14ac:dyDescent="0.25">
      <c r="A57" s="337" t="s">
        <v>412</v>
      </c>
      <c r="B57" s="338" t="s">
        <v>343</v>
      </c>
      <c r="C57" s="339">
        <v>75060</v>
      </c>
      <c r="D57" s="339">
        <v>78852</v>
      </c>
      <c r="E57" s="339">
        <v>82836</v>
      </c>
      <c r="F57" s="339">
        <v>86988</v>
      </c>
      <c r="G57" s="339">
        <v>91380</v>
      </c>
    </row>
    <row r="58" spans="1:7" ht="15" customHeight="1" x14ac:dyDescent="0.25">
      <c r="A58" s="337" t="s">
        <v>413</v>
      </c>
      <c r="B58" s="338" t="s">
        <v>343</v>
      </c>
      <c r="C58" s="339">
        <v>75060</v>
      </c>
      <c r="D58" s="339">
        <v>78852</v>
      </c>
      <c r="E58" s="339">
        <v>82836</v>
      </c>
      <c r="F58" s="339">
        <v>86988</v>
      </c>
      <c r="G58" s="339">
        <v>91380</v>
      </c>
    </row>
    <row r="59" spans="1:7" ht="15" customHeight="1" x14ac:dyDescent="0.25">
      <c r="A59" s="337" t="s">
        <v>414</v>
      </c>
      <c r="B59" s="338" t="s">
        <v>340</v>
      </c>
      <c r="C59" s="339">
        <v>82764</v>
      </c>
      <c r="D59" s="339">
        <v>86844</v>
      </c>
      <c r="E59" s="339">
        <v>91296</v>
      </c>
      <c r="F59" s="339">
        <v>95880</v>
      </c>
      <c r="G59" s="339">
        <v>100716</v>
      </c>
    </row>
    <row r="60" spans="1:7" ht="15" customHeight="1" x14ac:dyDescent="0.25">
      <c r="A60" s="337" t="s">
        <v>415</v>
      </c>
      <c r="B60" s="338" t="s">
        <v>352</v>
      </c>
      <c r="C60" s="339">
        <v>71724</v>
      </c>
      <c r="D60" s="339">
        <v>75348</v>
      </c>
      <c r="E60" s="339">
        <v>79164</v>
      </c>
      <c r="F60" s="339">
        <v>83136</v>
      </c>
      <c r="G60" s="339">
        <v>87372</v>
      </c>
    </row>
    <row r="61" spans="1:7" ht="15" customHeight="1" x14ac:dyDescent="0.25">
      <c r="A61" s="337" t="s">
        <v>416</v>
      </c>
      <c r="B61" s="338" t="s">
        <v>340</v>
      </c>
      <c r="C61" s="339">
        <v>82764</v>
      </c>
      <c r="D61" s="339">
        <v>86844</v>
      </c>
      <c r="E61" s="339">
        <v>91296</v>
      </c>
      <c r="F61" s="339">
        <v>95880</v>
      </c>
      <c r="G61" s="339">
        <v>100716</v>
      </c>
    </row>
    <row r="62" spans="1:7" ht="15" customHeight="1" x14ac:dyDescent="0.25">
      <c r="A62" s="340" t="s">
        <v>417</v>
      </c>
      <c r="B62" s="341" t="s">
        <v>349</v>
      </c>
      <c r="C62" s="342">
        <v>90084</v>
      </c>
      <c r="D62" s="342">
        <v>94644</v>
      </c>
      <c r="E62" s="342">
        <v>99384</v>
      </c>
      <c r="F62" s="342">
        <v>104388</v>
      </c>
      <c r="G62" s="342">
        <v>109704</v>
      </c>
    </row>
    <row r="63" spans="1:7" ht="15" customHeight="1" x14ac:dyDescent="0.25">
      <c r="A63" s="340" t="s">
        <v>418</v>
      </c>
      <c r="B63" s="341" t="s">
        <v>340</v>
      </c>
      <c r="C63" s="342">
        <v>82764</v>
      </c>
      <c r="D63" s="342">
        <v>86844</v>
      </c>
      <c r="E63" s="342">
        <v>91296</v>
      </c>
      <c r="F63" s="342">
        <v>95880</v>
      </c>
      <c r="G63" s="342">
        <v>100716</v>
      </c>
    </row>
    <row r="64" spans="1:7" ht="15" customHeight="1" x14ac:dyDescent="0.25">
      <c r="A64" s="340" t="s">
        <v>419</v>
      </c>
      <c r="B64" s="341" t="s">
        <v>371</v>
      </c>
      <c r="C64" s="342">
        <v>94392</v>
      </c>
      <c r="D64" s="342">
        <v>99168</v>
      </c>
      <c r="E64" s="342">
        <v>104148</v>
      </c>
      <c r="F64" s="342">
        <v>109416</v>
      </c>
      <c r="G64" s="342">
        <v>114948</v>
      </c>
    </row>
    <row r="65" spans="1:7" ht="15" customHeight="1" x14ac:dyDescent="0.25">
      <c r="A65" s="337" t="s">
        <v>420</v>
      </c>
      <c r="B65" s="338" t="s">
        <v>352</v>
      </c>
      <c r="C65" s="339">
        <v>71724</v>
      </c>
      <c r="D65" s="339">
        <v>75348</v>
      </c>
      <c r="E65" s="339">
        <v>79164</v>
      </c>
      <c r="F65" s="339">
        <v>83136</v>
      </c>
      <c r="G65" s="339">
        <v>87372</v>
      </c>
    </row>
    <row r="66" spans="1:7" ht="15" customHeight="1" x14ac:dyDescent="0.25">
      <c r="A66" s="337" t="s">
        <v>421</v>
      </c>
      <c r="B66" s="338" t="s">
        <v>371</v>
      </c>
      <c r="C66" s="339">
        <v>94392</v>
      </c>
      <c r="D66" s="339">
        <v>99168</v>
      </c>
      <c r="E66" s="339">
        <v>104148</v>
      </c>
      <c r="F66" s="339">
        <v>109416</v>
      </c>
      <c r="G66" s="339">
        <v>114948</v>
      </c>
    </row>
    <row r="67" spans="1:7" ht="15" customHeight="1" x14ac:dyDescent="0.25">
      <c r="A67" s="337" t="s">
        <v>422</v>
      </c>
      <c r="B67" s="338" t="s">
        <v>392</v>
      </c>
      <c r="C67" s="339">
        <v>104472</v>
      </c>
      <c r="D67" s="339">
        <v>109776</v>
      </c>
      <c r="E67" s="339">
        <v>115272</v>
      </c>
      <c r="F67" s="339">
        <v>121068</v>
      </c>
      <c r="G67" s="339">
        <v>127164</v>
      </c>
    </row>
    <row r="68" spans="1:7" ht="15" customHeight="1" x14ac:dyDescent="0.25">
      <c r="A68" s="337" t="s">
        <v>423</v>
      </c>
      <c r="B68" s="338" t="s">
        <v>340</v>
      </c>
      <c r="C68" s="339">
        <v>82764</v>
      </c>
      <c r="D68" s="339">
        <v>86844</v>
      </c>
      <c r="E68" s="339">
        <v>91296</v>
      </c>
      <c r="F68" s="339">
        <v>95880</v>
      </c>
      <c r="G68" s="339">
        <v>100716</v>
      </c>
    </row>
    <row r="69" spans="1:7" ht="15" customHeight="1" x14ac:dyDescent="0.25">
      <c r="A69" s="337" t="s">
        <v>424</v>
      </c>
      <c r="B69" s="338" t="s">
        <v>359</v>
      </c>
      <c r="C69" s="339">
        <v>68724</v>
      </c>
      <c r="D69" s="339">
        <v>72192</v>
      </c>
      <c r="E69" s="339">
        <v>75792</v>
      </c>
      <c r="F69" s="339">
        <v>79644</v>
      </c>
      <c r="G69" s="339">
        <v>83676</v>
      </c>
    </row>
    <row r="70" spans="1:7" ht="15" customHeight="1" x14ac:dyDescent="0.25">
      <c r="A70" s="340" t="s">
        <v>425</v>
      </c>
      <c r="B70" s="341" t="s">
        <v>426</v>
      </c>
      <c r="C70" s="342">
        <v>52032</v>
      </c>
      <c r="D70" s="342">
        <v>54672</v>
      </c>
      <c r="E70" s="342">
        <v>57456</v>
      </c>
      <c r="F70" s="342">
        <v>60324</v>
      </c>
      <c r="G70" s="342">
        <v>63372</v>
      </c>
    </row>
    <row r="71" spans="1:7" ht="15" customHeight="1" x14ac:dyDescent="0.25">
      <c r="A71" s="340" t="s">
        <v>427</v>
      </c>
      <c r="B71" s="341" t="s">
        <v>359</v>
      </c>
      <c r="C71" s="342">
        <v>68724</v>
      </c>
      <c r="D71" s="342">
        <v>72192</v>
      </c>
      <c r="E71" s="342">
        <v>75792</v>
      </c>
      <c r="F71" s="342">
        <v>79644</v>
      </c>
      <c r="G71" s="342">
        <v>83676</v>
      </c>
    </row>
    <row r="72" spans="1:7" ht="15" customHeight="1" x14ac:dyDescent="0.25">
      <c r="A72" s="340" t="s">
        <v>428</v>
      </c>
      <c r="B72" s="341" t="s">
        <v>429</v>
      </c>
      <c r="C72" s="342">
        <v>48636</v>
      </c>
      <c r="D72" s="342">
        <v>51084</v>
      </c>
      <c r="E72" s="342">
        <v>53664</v>
      </c>
      <c r="F72" s="342">
        <v>56364</v>
      </c>
      <c r="G72" s="342">
        <v>59232</v>
      </c>
    </row>
    <row r="73" spans="1:7" ht="15" customHeight="1" x14ac:dyDescent="0.25">
      <c r="A73" s="340" t="s">
        <v>430</v>
      </c>
      <c r="B73" s="341" t="s">
        <v>369</v>
      </c>
      <c r="C73" s="342">
        <v>59484</v>
      </c>
      <c r="D73" s="342">
        <v>62568</v>
      </c>
      <c r="E73" s="342">
        <v>65664</v>
      </c>
      <c r="F73" s="342">
        <v>68964</v>
      </c>
      <c r="G73" s="342">
        <v>72468</v>
      </c>
    </row>
    <row r="74" spans="1:7" ht="15" customHeight="1" x14ac:dyDescent="0.25">
      <c r="A74" s="337" t="s">
        <v>431</v>
      </c>
      <c r="B74" s="338" t="s">
        <v>340</v>
      </c>
      <c r="C74" s="339">
        <v>82764</v>
      </c>
      <c r="D74" s="339">
        <v>86844</v>
      </c>
      <c r="E74" s="339">
        <v>91296</v>
      </c>
      <c r="F74" s="339">
        <v>95880</v>
      </c>
      <c r="G74" s="339">
        <v>100716</v>
      </c>
    </row>
    <row r="75" spans="1:7" ht="15" customHeight="1" x14ac:dyDescent="0.25">
      <c r="A75" s="337" t="s">
        <v>432</v>
      </c>
      <c r="B75" s="338" t="s">
        <v>392</v>
      </c>
      <c r="C75" s="339">
        <v>104472</v>
      </c>
      <c r="D75" s="339">
        <v>109776</v>
      </c>
      <c r="E75" s="339">
        <v>115272</v>
      </c>
      <c r="F75" s="339">
        <v>121068</v>
      </c>
      <c r="G75" s="339">
        <v>127164</v>
      </c>
    </row>
    <row r="76" spans="1:7" ht="15" customHeight="1" x14ac:dyDescent="0.25">
      <c r="A76" s="337" t="s">
        <v>433</v>
      </c>
      <c r="B76" s="338" t="s">
        <v>343</v>
      </c>
      <c r="C76" s="339">
        <v>75060</v>
      </c>
      <c r="D76" s="339">
        <v>78852</v>
      </c>
      <c r="E76" s="339">
        <v>82836</v>
      </c>
      <c r="F76" s="339">
        <v>86988</v>
      </c>
      <c r="G76" s="339">
        <v>91380</v>
      </c>
    </row>
    <row r="77" spans="1:7" ht="15" customHeight="1" x14ac:dyDescent="0.25">
      <c r="A77" s="337" t="s">
        <v>434</v>
      </c>
      <c r="B77" s="338" t="s">
        <v>371</v>
      </c>
      <c r="C77" s="339">
        <v>94392</v>
      </c>
      <c r="D77" s="339">
        <v>99168</v>
      </c>
      <c r="E77" s="339">
        <v>104148</v>
      </c>
      <c r="F77" s="339">
        <v>109416</v>
      </c>
      <c r="G77" s="339">
        <v>114948</v>
      </c>
    </row>
    <row r="78" spans="1:7" ht="15" customHeight="1" x14ac:dyDescent="0.25">
      <c r="A78" s="337" t="s">
        <v>435</v>
      </c>
      <c r="B78" s="338" t="s">
        <v>352</v>
      </c>
      <c r="C78" s="339">
        <v>71724</v>
      </c>
      <c r="D78" s="339">
        <v>75348</v>
      </c>
      <c r="E78" s="339">
        <v>79164</v>
      </c>
      <c r="F78" s="339">
        <v>83136</v>
      </c>
      <c r="G78" s="339">
        <v>87372</v>
      </c>
    </row>
    <row r="79" spans="1:7" ht="15" customHeight="1" x14ac:dyDescent="0.25">
      <c r="A79" s="337" t="s">
        <v>436</v>
      </c>
      <c r="B79" s="338" t="s">
        <v>375</v>
      </c>
      <c r="C79" s="339">
        <v>56928</v>
      </c>
      <c r="D79" s="339">
        <v>59820</v>
      </c>
      <c r="E79" s="339">
        <v>62808</v>
      </c>
      <c r="F79" s="339">
        <v>65952</v>
      </c>
      <c r="G79" s="339">
        <v>69300</v>
      </c>
    </row>
    <row r="80" spans="1:7" ht="15" customHeight="1" x14ac:dyDescent="0.25">
      <c r="A80" s="337" t="s">
        <v>437</v>
      </c>
      <c r="B80" s="338" t="s">
        <v>389</v>
      </c>
      <c r="C80" s="339">
        <v>65676</v>
      </c>
      <c r="D80" s="339">
        <v>69000</v>
      </c>
      <c r="E80" s="339">
        <v>72528</v>
      </c>
      <c r="F80" s="339">
        <v>76128</v>
      </c>
      <c r="G80" s="339">
        <v>79956</v>
      </c>
    </row>
    <row r="81" spans="1:7" ht="15" customHeight="1" x14ac:dyDescent="0.25">
      <c r="A81" s="337" t="s">
        <v>438</v>
      </c>
      <c r="B81" s="338" t="s">
        <v>343</v>
      </c>
      <c r="C81" s="339">
        <v>75060</v>
      </c>
      <c r="D81" s="339">
        <v>78852</v>
      </c>
      <c r="E81" s="339">
        <v>82836</v>
      </c>
      <c r="F81" s="339">
        <v>86988</v>
      </c>
      <c r="G81" s="339">
        <v>91380</v>
      </c>
    </row>
    <row r="82" spans="1:7" ht="15" customHeight="1" x14ac:dyDescent="0.25">
      <c r="A82" s="337" t="s">
        <v>439</v>
      </c>
      <c r="B82" s="338" t="s">
        <v>340</v>
      </c>
      <c r="C82" s="339">
        <v>82764</v>
      </c>
      <c r="D82" s="339">
        <v>86844</v>
      </c>
      <c r="E82" s="339">
        <v>91296</v>
      </c>
      <c r="F82" s="339">
        <v>95880</v>
      </c>
      <c r="G82" s="339">
        <v>100716</v>
      </c>
    </row>
    <row r="83" spans="1:7" ht="15" customHeight="1" x14ac:dyDescent="0.25">
      <c r="A83" s="337" t="s">
        <v>440</v>
      </c>
      <c r="B83" s="338" t="s">
        <v>340</v>
      </c>
      <c r="C83" s="339">
        <v>82764</v>
      </c>
      <c r="D83" s="339">
        <v>86844</v>
      </c>
      <c r="E83" s="339">
        <v>91296</v>
      </c>
      <c r="F83" s="339">
        <v>95880</v>
      </c>
      <c r="G83" s="339">
        <v>100716</v>
      </c>
    </row>
    <row r="84" spans="1:7" ht="15" customHeight="1" x14ac:dyDescent="0.25">
      <c r="A84" s="337" t="s">
        <v>441</v>
      </c>
      <c r="B84" s="338" t="s">
        <v>389</v>
      </c>
      <c r="C84" s="339">
        <v>65676</v>
      </c>
      <c r="D84" s="339">
        <v>69000</v>
      </c>
      <c r="E84" s="339">
        <v>72528</v>
      </c>
      <c r="F84" s="339">
        <v>76128</v>
      </c>
      <c r="G84" s="339">
        <v>79956</v>
      </c>
    </row>
    <row r="85" spans="1:7" ht="15" customHeight="1" x14ac:dyDescent="0.25">
      <c r="A85" s="337" t="s">
        <v>442</v>
      </c>
      <c r="B85" s="338" t="s">
        <v>383</v>
      </c>
      <c r="C85" s="339">
        <v>99204</v>
      </c>
      <c r="D85" s="339">
        <v>104220</v>
      </c>
      <c r="E85" s="339">
        <v>109464</v>
      </c>
      <c r="F85" s="339">
        <v>114996</v>
      </c>
      <c r="G85" s="339">
        <v>120768</v>
      </c>
    </row>
    <row r="86" spans="1:7" ht="15" customHeight="1" x14ac:dyDescent="0.25">
      <c r="A86" s="337" t="s">
        <v>443</v>
      </c>
      <c r="B86" s="338" t="s">
        <v>355</v>
      </c>
      <c r="C86" s="339">
        <v>79548</v>
      </c>
      <c r="D86" s="339">
        <v>83520</v>
      </c>
      <c r="E86" s="339">
        <v>87780</v>
      </c>
      <c r="F86" s="339">
        <v>92208</v>
      </c>
      <c r="G86" s="339">
        <v>96828</v>
      </c>
    </row>
    <row r="87" spans="1:7" ht="15" customHeight="1" x14ac:dyDescent="0.25">
      <c r="A87" s="337" t="s">
        <v>444</v>
      </c>
      <c r="B87" s="338" t="s">
        <v>359</v>
      </c>
      <c r="C87" s="339">
        <v>68724</v>
      </c>
      <c r="D87" s="339">
        <v>72192</v>
      </c>
      <c r="E87" s="339">
        <v>75792</v>
      </c>
      <c r="F87" s="339">
        <v>79644</v>
      </c>
      <c r="G87" s="339">
        <v>83676</v>
      </c>
    </row>
    <row r="88" spans="1:7" ht="15" customHeight="1" x14ac:dyDescent="0.25">
      <c r="A88" s="337" t="s">
        <v>445</v>
      </c>
      <c r="B88" s="338" t="s">
        <v>355</v>
      </c>
      <c r="C88" s="339">
        <v>79548</v>
      </c>
      <c r="D88" s="339">
        <v>83520</v>
      </c>
      <c r="E88" s="339">
        <v>87780</v>
      </c>
      <c r="F88" s="339">
        <v>92208</v>
      </c>
      <c r="G88" s="339">
        <v>96828</v>
      </c>
    </row>
    <row r="89" spans="1:7" ht="15" customHeight="1" x14ac:dyDescent="0.25">
      <c r="A89" s="337" t="s">
        <v>446</v>
      </c>
      <c r="B89" s="338" t="s">
        <v>371</v>
      </c>
      <c r="C89" s="339">
        <v>94392</v>
      </c>
      <c r="D89" s="339">
        <v>99168</v>
      </c>
      <c r="E89" s="339">
        <v>104148</v>
      </c>
      <c r="F89" s="339">
        <v>109416</v>
      </c>
      <c r="G89" s="339">
        <v>114948</v>
      </c>
    </row>
    <row r="90" spans="1:7" ht="15" customHeight="1" x14ac:dyDescent="0.25">
      <c r="A90" s="337" t="s">
        <v>447</v>
      </c>
      <c r="B90" s="338" t="s">
        <v>340</v>
      </c>
      <c r="C90" s="339">
        <v>82764</v>
      </c>
      <c r="D90" s="339">
        <v>86844</v>
      </c>
      <c r="E90" s="339">
        <v>91296</v>
      </c>
      <c r="F90" s="339">
        <v>95880</v>
      </c>
      <c r="G90" s="339">
        <v>100716</v>
      </c>
    </row>
    <row r="91" spans="1:7" ht="15" customHeight="1" x14ac:dyDescent="0.25">
      <c r="A91" s="337" t="s">
        <v>448</v>
      </c>
      <c r="B91" s="338" t="s">
        <v>343</v>
      </c>
      <c r="C91" s="339">
        <v>75060</v>
      </c>
      <c r="D91" s="339">
        <v>78852</v>
      </c>
      <c r="E91" s="339">
        <v>82836</v>
      </c>
      <c r="F91" s="339">
        <v>86988</v>
      </c>
      <c r="G91" s="339">
        <v>91380</v>
      </c>
    </row>
    <row r="92" spans="1:7" ht="15" customHeight="1" x14ac:dyDescent="0.25">
      <c r="A92" s="337" t="s">
        <v>449</v>
      </c>
      <c r="B92" s="338" t="s">
        <v>340</v>
      </c>
      <c r="C92" s="339">
        <v>82764</v>
      </c>
      <c r="D92" s="339">
        <v>86844</v>
      </c>
      <c r="E92" s="339">
        <v>91296</v>
      </c>
      <c r="F92" s="339">
        <v>95880</v>
      </c>
      <c r="G92" s="339">
        <v>100716</v>
      </c>
    </row>
    <row r="93" spans="1:7" ht="15" customHeight="1" x14ac:dyDescent="0.25">
      <c r="A93" s="337" t="s">
        <v>450</v>
      </c>
      <c r="B93" s="338" t="s">
        <v>343</v>
      </c>
      <c r="C93" s="339">
        <v>75060</v>
      </c>
      <c r="D93" s="339">
        <v>78852</v>
      </c>
      <c r="E93" s="339">
        <v>82836</v>
      </c>
      <c r="F93" s="339">
        <v>86988</v>
      </c>
      <c r="G93" s="339">
        <v>91380</v>
      </c>
    </row>
    <row r="94" spans="1:7" ht="15" customHeight="1" x14ac:dyDescent="0.25">
      <c r="A94" s="337" t="s">
        <v>451</v>
      </c>
      <c r="B94" s="338" t="s">
        <v>359</v>
      </c>
      <c r="C94" s="339">
        <v>68724</v>
      </c>
      <c r="D94" s="339">
        <v>72192</v>
      </c>
      <c r="E94" s="339">
        <v>75792</v>
      </c>
      <c r="F94" s="339">
        <v>79644</v>
      </c>
      <c r="G94" s="339">
        <v>83676</v>
      </c>
    </row>
    <row r="95" spans="1:7" ht="15" customHeight="1" x14ac:dyDescent="0.25">
      <c r="A95" s="337" t="s">
        <v>452</v>
      </c>
      <c r="B95" s="338" t="s">
        <v>367</v>
      </c>
      <c r="C95" s="339">
        <v>62400</v>
      </c>
      <c r="D95" s="339">
        <v>65544</v>
      </c>
      <c r="E95" s="339">
        <v>68856</v>
      </c>
      <c r="F95" s="339">
        <v>72288</v>
      </c>
      <c r="G95" s="339">
        <v>75924</v>
      </c>
    </row>
    <row r="96" spans="1:7" ht="15" customHeight="1" x14ac:dyDescent="0.25">
      <c r="A96" s="337" t="s">
        <v>453</v>
      </c>
      <c r="B96" s="338" t="s">
        <v>347</v>
      </c>
      <c r="C96" s="339">
        <v>86460</v>
      </c>
      <c r="D96" s="339">
        <v>90768</v>
      </c>
      <c r="E96" s="339">
        <v>95412</v>
      </c>
      <c r="F96" s="339">
        <v>100152</v>
      </c>
      <c r="G96" s="339">
        <v>105252</v>
      </c>
    </row>
    <row r="97" spans="1:7" ht="15" customHeight="1" x14ac:dyDescent="0.25">
      <c r="A97" s="337" t="s">
        <v>454</v>
      </c>
      <c r="B97" s="338" t="s">
        <v>343</v>
      </c>
      <c r="C97" s="339">
        <v>75060</v>
      </c>
      <c r="D97" s="339">
        <v>78852</v>
      </c>
      <c r="E97" s="339">
        <v>82836</v>
      </c>
      <c r="F97" s="339">
        <v>86988</v>
      </c>
      <c r="G97" s="339">
        <v>91380</v>
      </c>
    </row>
    <row r="98" spans="1:7" ht="15" customHeight="1" x14ac:dyDescent="0.25">
      <c r="A98" s="337" t="s">
        <v>455</v>
      </c>
      <c r="B98" s="338" t="s">
        <v>367</v>
      </c>
      <c r="C98" s="339">
        <v>62400</v>
      </c>
      <c r="D98" s="339">
        <v>65544</v>
      </c>
      <c r="E98" s="339">
        <v>68856</v>
      </c>
      <c r="F98" s="339">
        <v>72288</v>
      </c>
      <c r="G98" s="339">
        <v>75924</v>
      </c>
    </row>
    <row r="99" spans="1:7" ht="15" customHeight="1" x14ac:dyDescent="0.25">
      <c r="A99" s="337" t="s">
        <v>456</v>
      </c>
      <c r="B99" s="338" t="s">
        <v>389</v>
      </c>
      <c r="C99" s="339">
        <v>65676</v>
      </c>
      <c r="D99" s="339">
        <v>69000</v>
      </c>
      <c r="E99" s="339">
        <v>72528</v>
      </c>
      <c r="F99" s="339">
        <v>76128</v>
      </c>
      <c r="G99" s="339">
        <v>79956</v>
      </c>
    </row>
    <row r="100" spans="1:7" ht="15" customHeight="1" x14ac:dyDescent="0.25">
      <c r="A100" s="337" t="s">
        <v>457</v>
      </c>
      <c r="B100" s="338" t="s">
        <v>389</v>
      </c>
      <c r="C100" s="339">
        <v>65676</v>
      </c>
      <c r="D100" s="339">
        <v>69000</v>
      </c>
      <c r="E100" s="339">
        <v>72528</v>
      </c>
      <c r="F100" s="339">
        <v>76128</v>
      </c>
      <c r="G100" s="339">
        <v>79956</v>
      </c>
    </row>
    <row r="101" spans="1:7" ht="15" customHeight="1" x14ac:dyDescent="0.25">
      <c r="A101" s="337" t="s">
        <v>458</v>
      </c>
      <c r="B101" s="338" t="s">
        <v>343</v>
      </c>
      <c r="C101" s="339">
        <v>75060</v>
      </c>
      <c r="D101" s="339">
        <v>78852</v>
      </c>
      <c r="E101" s="339">
        <v>82836</v>
      </c>
      <c r="F101" s="339">
        <v>86988</v>
      </c>
      <c r="G101" s="339">
        <v>91380</v>
      </c>
    </row>
    <row r="102" spans="1:7" ht="15" customHeight="1" x14ac:dyDescent="0.25">
      <c r="A102" s="337" t="s">
        <v>459</v>
      </c>
      <c r="B102" s="338" t="s">
        <v>389</v>
      </c>
      <c r="C102" s="339">
        <v>65676</v>
      </c>
      <c r="D102" s="339">
        <v>69000</v>
      </c>
      <c r="E102" s="339">
        <v>72528</v>
      </c>
      <c r="F102" s="339">
        <v>76128</v>
      </c>
      <c r="G102" s="339">
        <v>79956</v>
      </c>
    </row>
    <row r="103" spans="1:7" ht="15" customHeight="1" x14ac:dyDescent="0.25">
      <c r="A103" s="337" t="s">
        <v>460</v>
      </c>
      <c r="B103" s="338" t="s">
        <v>343</v>
      </c>
      <c r="C103" s="339">
        <v>75060</v>
      </c>
      <c r="D103" s="339">
        <v>78852</v>
      </c>
      <c r="E103" s="339">
        <v>82836</v>
      </c>
      <c r="F103" s="339">
        <v>86988</v>
      </c>
      <c r="G103" s="339">
        <v>91380</v>
      </c>
    </row>
    <row r="104" spans="1:7" ht="15" customHeight="1" x14ac:dyDescent="0.25">
      <c r="A104" s="340" t="s">
        <v>461</v>
      </c>
      <c r="B104" s="341" t="s">
        <v>340</v>
      </c>
      <c r="C104" s="342">
        <v>82764</v>
      </c>
      <c r="D104" s="342">
        <v>86844</v>
      </c>
      <c r="E104" s="342">
        <v>91296</v>
      </c>
      <c r="F104" s="342">
        <v>95880</v>
      </c>
      <c r="G104" s="342">
        <v>100716</v>
      </c>
    </row>
    <row r="105" spans="1:7" ht="15" customHeight="1" x14ac:dyDescent="0.25">
      <c r="A105" s="340" t="s">
        <v>462</v>
      </c>
      <c r="B105" s="341" t="s">
        <v>349</v>
      </c>
      <c r="C105" s="342">
        <v>90084</v>
      </c>
      <c r="D105" s="342">
        <v>94644</v>
      </c>
      <c r="E105" s="342">
        <v>99384</v>
      </c>
      <c r="F105" s="342">
        <v>104388</v>
      </c>
      <c r="G105" s="342">
        <v>109704</v>
      </c>
    </row>
    <row r="106" spans="1:7" ht="15" customHeight="1" x14ac:dyDescent="0.25">
      <c r="A106" s="337" t="s">
        <v>463</v>
      </c>
      <c r="B106" s="338" t="s">
        <v>347</v>
      </c>
      <c r="C106" s="339">
        <v>86460</v>
      </c>
      <c r="D106" s="339">
        <v>90768</v>
      </c>
      <c r="E106" s="339">
        <v>95412</v>
      </c>
      <c r="F106" s="339">
        <v>100152</v>
      </c>
      <c r="G106" s="339">
        <v>105252</v>
      </c>
    </row>
    <row r="107" spans="1:7" ht="15" customHeight="1" x14ac:dyDescent="0.25">
      <c r="A107" s="337" t="s">
        <v>464</v>
      </c>
      <c r="B107" s="338" t="s">
        <v>343</v>
      </c>
      <c r="C107" s="339">
        <v>75060</v>
      </c>
      <c r="D107" s="339">
        <v>78852</v>
      </c>
      <c r="E107" s="339">
        <v>82836</v>
      </c>
      <c r="F107" s="339">
        <v>86988</v>
      </c>
      <c r="G107" s="339">
        <v>91380</v>
      </c>
    </row>
    <row r="108" spans="1:7" ht="15" customHeight="1" x14ac:dyDescent="0.25">
      <c r="A108" s="337" t="s">
        <v>465</v>
      </c>
      <c r="B108" s="338" t="s">
        <v>359</v>
      </c>
      <c r="C108" s="339">
        <v>68724</v>
      </c>
      <c r="D108" s="339">
        <v>72192</v>
      </c>
      <c r="E108" s="339">
        <v>75792</v>
      </c>
      <c r="F108" s="339">
        <v>79644</v>
      </c>
      <c r="G108" s="339">
        <v>83676</v>
      </c>
    </row>
    <row r="109" spans="1:7" ht="15" customHeight="1" x14ac:dyDescent="0.25">
      <c r="A109" s="337" t="s">
        <v>466</v>
      </c>
      <c r="B109" s="338" t="s">
        <v>355</v>
      </c>
      <c r="C109" s="339">
        <v>79548</v>
      </c>
      <c r="D109" s="339">
        <v>83520</v>
      </c>
      <c r="E109" s="339">
        <v>87780</v>
      </c>
      <c r="F109" s="339">
        <v>92208</v>
      </c>
      <c r="G109" s="339">
        <v>96828</v>
      </c>
    </row>
    <row r="110" spans="1:7" ht="15" customHeight="1" x14ac:dyDescent="0.25">
      <c r="A110" s="340" t="s">
        <v>467</v>
      </c>
      <c r="B110" s="341" t="s">
        <v>343</v>
      </c>
      <c r="C110" s="342">
        <v>75060</v>
      </c>
      <c r="D110" s="342">
        <v>78852</v>
      </c>
      <c r="E110" s="342">
        <v>82836</v>
      </c>
      <c r="F110" s="342">
        <v>86988</v>
      </c>
      <c r="G110" s="342">
        <v>91380</v>
      </c>
    </row>
    <row r="111" spans="1:7" ht="15" customHeight="1" x14ac:dyDescent="0.25">
      <c r="A111" s="340" t="s">
        <v>468</v>
      </c>
      <c r="B111" s="341" t="s">
        <v>355</v>
      </c>
      <c r="C111" s="342">
        <v>79548</v>
      </c>
      <c r="D111" s="342">
        <v>83520</v>
      </c>
      <c r="E111" s="342">
        <v>87780</v>
      </c>
      <c r="F111" s="342">
        <v>92208</v>
      </c>
      <c r="G111" s="342">
        <v>96828</v>
      </c>
    </row>
    <row r="112" spans="1:7" ht="15" customHeight="1" x14ac:dyDescent="0.25">
      <c r="A112" s="337" t="s">
        <v>469</v>
      </c>
      <c r="B112" s="338" t="s">
        <v>355</v>
      </c>
      <c r="C112" s="339">
        <v>79548</v>
      </c>
      <c r="D112" s="339">
        <v>83520</v>
      </c>
      <c r="E112" s="339">
        <v>87780</v>
      </c>
      <c r="F112" s="339">
        <v>92208</v>
      </c>
      <c r="G112" s="339">
        <v>96828</v>
      </c>
    </row>
    <row r="113" spans="1:7" ht="15" customHeight="1" x14ac:dyDescent="0.25">
      <c r="A113" s="337" t="s">
        <v>470</v>
      </c>
      <c r="B113" s="338" t="s">
        <v>359</v>
      </c>
      <c r="C113" s="339">
        <v>68724</v>
      </c>
      <c r="D113" s="339">
        <v>72192</v>
      </c>
      <c r="E113" s="339">
        <v>75792</v>
      </c>
      <c r="F113" s="339">
        <v>79644</v>
      </c>
      <c r="G113" s="339">
        <v>83676</v>
      </c>
    </row>
    <row r="114" spans="1:7" ht="15" customHeight="1" x14ac:dyDescent="0.25">
      <c r="A114" s="337" t="s">
        <v>471</v>
      </c>
      <c r="B114" s="338" t="s">
        <v>355</v>
      </c>
      <c r="C114" s="339">
        <v>79548</v>
      </c>
      <c r="D114" s="339">
        <v>83520</v>
      </c>
      <c r="E114" s="339">
        <v>87780</v>
      </c>
      <c r="F114" s="339">
        <v>92208</v>
      </c>
      <c r="G114" s="339">
        <v>96828</v>
      </c>
    </row>
    <row r="115" spans="1:7" ht="15" customHeight="1" x14ac:dyDescent="0.25">
      <c r="A115" s="337" t="s">
        <v>472</v>
      </c>
      <c r="B115" s="338" t="s">
        <v>359</v>
      </c>
      <c r="C115" s="339">
        <v>68724</v>
      </c>
      <c r="D115" s="339">
        <v>72192</v>
      </c>
      <c r="E115" s="339">
        <v>75792</v>
      </c>
      <c r="F115" s="339">
        <v>79644</v>
      </c>
      <c r="G115" s="339">
        <v>83676</v>
      </c>
    </row>
    <row r="116" spans="1:7" ht="15" customHeight="1" x14ac:dyDescent="0.25">
      <c r="A116" s="340" t="s">
        <v>473</v>
      </c>
      <c r="B116" s="341" t="s">
        <v>347</v>
      </c>
      <c r="C116" s="342">
        <v>86460</v>
      </c>
      <c r="D116" s="342">
        <v>90768</v>
      </c>
      <c r="E116" s="342">
        <v>95412</v>
      </c>
      <c r="F116" s="342">
        <v>100152</v>
      </c>
      <c r="G116" s="342">
        <v>105252</v>
      </c>
    </row>
    <row r="117" spans="1:7" ht="15" customHeight="1" x14ac:dyDescent="0.25">
      <c r="A117" s="337" t="s">
        <v>474</v>
      </c>
      <c r="B117" s="338" t="s">
        <v>349</v>
      </c>
      <c r="C117" s="339">
        <v>90084</v>
      </c>
      <c r="D117" s="339">
        <v>94644</v>
      </c>
      <c r="E117" s="339">
        <v>99384</v>
      </c>
      <c r="F117" s="339">
        <v>104388</v>
      </c>
      <c r="G117" s="339">
        <v>109704</v>
      </c>
    </row>
    <row r="118" spans="1:7" ht="15" customHeight="1" x14ac:dyDescent="0.25">
      <c r="A118" s="337" t="s">
        <v>475</v>
      </c>
      <c r="B118" s="338" t="s">
        <v>349</v>
      </c>
      <c r="C118" s="339">
        <v>90084</v>
      </c>
      <c r="D118" s="339">
        <v>94644</v>
      </c>
      <c r="E118" s="339">
        <v>99384</v>
      </c>
      <c r="F118" s="339">
        <v>104388</v>
      </c>
      <c r="G118" s="339">
        <v>109704</v>
      </c>
    </row>
    <row r="119" spans="1:7" ht="15" customHeight="1" x14ac:dyDescent="0.25">
      <c r="A119" s="337" t="s">
        <v>476</v>
      </c>
      <c r="B119" s="338" t="s">
        <v>349</v>
      </c>
      <c r="C119" s="339">
        <v>90084</v>
      </c>
      <c r="D119" s="339">
        <v>94644</v>
      </c>
      <c r="E119" s="339">
        <v>99384</v>
      </c>
      <c r="F119" s="339">
        <v>104388</v>
      </c>
      <c r="G119" s="339">
        <v>109704</v>
      </c>
    </row>
    <row r="120" spans="1:7" ht="15" customHeight="1" x14ac:dyDescent="0.25">
      <c r="A120" s="337" t="s">
        <v>477</v>
      </c>
      <c r="B120" s="338" t="s">
        <v>349</v>
      </c>
      <c r="C120" s="339">
        <v>90084</v>
      </c>
      <c r="D120" s="339">
        <v>94644</v>
      </c>
      <c r="E120" s="339">
        <v>99384</v>
      </c>
      <c r="F120" s="339">
        <v>104388</v>
      </c>
      <c r="G120" s="339">
        <v>109704</v>
      </c>
    </row>
    <row r="121" spans="1:7" ht="15" customHeight="1" x14ac:dyDescent="0.25">
      <c r="A121" s="337" t="s">
        <v>478</v>
      </c>
      <c r="B121" s="338" t="s">
        <v>355</v>
      </c>
      <c r="C121" s="339">
        <v>79548</v>
      </c>
      <c r="D121" s="339">
        <v>83520</v>
      </c>
      <c r="E121" s="339">
        <v>87780</v>
      </c>
      <c r="F121" s="339">
        <v>92208</v>
      </c>
      <c r="G121" s="339">
        <v>96828</v>
      </c>
    </row>
    <row r="122" spans="1:7" ht="15" customHeight="1" x14ac:dyDescent="0.25">
      <c r="A122" s="337" t="s">
        <v>479</v>
      </c>
      <c r="B122" s="338" t="s">
        <v>355</v>
      </c>
      <c r="C122" s="339">
        <v>79548</v>
      </c>
      <c r="D122" s="339">
        <v>83520</v>
      </c>
      <c r="E122" s="339">
        <v>87780</v>
      </c>
      <c r="F122" s="339">
        <v>92208</v>
      </c>
      <c r="G122" s="339">
        <v>96828</v>
      </c>
    </row>
    <row r="123" spans="1:7" ht="15" customHeight="1" x14ac:dyDescent="0.25">
      <c r="A123" s="337" t="s">
        <v>480</v>
      </c>
      <c r="B123" s="338" t="s">
        <v>359</v>
      </c>
      <c r="C123" s="339">
        <v>68724</v>
      </c>
      <c r="D123" s="339">
        <v>72192</v>
      </c>
      <c r="E123" s="339">
        <v>75792</v>
      </c>
      <c r="F123" s="339">
        <v>79644</v>
      </c>
      <c r="G123" s="339">
        <v>83676</v>
      </c>
    </row>
    <row r="124" spans="1:7" ht="15" customHeight="1" x14ac:dyDescent="0.25">
      <c r="A124" s="340" t="s">
        <v>481</v>
      </c>
      <c r="B124" s="341" t="s">
        <v>343</v>
      </c>
      <c r="C124" s="342">
        <v>75060</v>
      </c>
      <c r="D124" s="342">
        <v>78852</v>
      </c>
      <c r="E124" s="342">
        <v>82836</v>
      </c>
      <c r="F124" s="342">
        <v>86988</v>
      </c>
      <c r="G124" s="342">
        <v>91380</v>
      </c>
    </row>
    <row r="125" spans="1:7" ht="15" customHeight="1" x14ac:dyDescent="0.25">
      <c r="A125" s="340" t="s">
        <v>482</v>
      </c>
      <c r="B125" s="341" t="s">
        <v>340</v>
      </c>
      <c r="C125" s="342">
        <v>82764</v>
      </c>
      <c r="D125" s="342">
        <v>86844</v>
      </c>
      <c r="E125" s="342">
        <v>91296</v>
      </c>
      <c r="F125" s="342">
        <v>95880</v>
      </c>
      <c r="G125" s="342">
        <v>100716</v>
      </c>
    </row>
    <row r="126" spans="1:7" ht="15" customHeight="1" x14ac:dyDescent="0.25">
      <c r="A126" s="337" t="s">
        <v>483</v>
      </c>
      <c r="B126" s="338" t="s">
        <v>392</v>
      </c>
      <c r="C126" s="339">
        <v>104472</v>
      </c>
      <c r="D126" s="339">
        <v>109776</v>
      </c>
      <c r="E126" s="339">
        <v>115272</v>
      </c>
      <c r="F126" s="339">
        <v>121068</v>
      </c>
      <c r="G126" s="339">
        <v>127164</v>
      </c>
    </row>
    <row r="127" spans="1:7" ht="15" customHeight="1" x14ac:dyDescent="0.25">
      <c r="A127" s="340" t="s">
        <v>484</v>
      </c>
      <c r="B127" s="341" t="s">
        <v>347</v>
      </c>
      <c r="C127" s="342">
        <v>86460</v>
      </c>
      <c r="D127" s="342">
        <v>90768</v>
      </c>
      <c r="E127" s="342">
        <v>95412</v>
      </c>
      <c r="F127" s="342">
        <v>100152</v>
      </c>
      <c r="G127" s="342">
        <v>105252</v>
      </c>
    </row>
    <row r="128" spans="1:7" ht="15" customHeight="1" x14ac:dyDescent="0.25">
      <c r="A128" s="337" t="s">
        <v>485</v>
      </c>
      <c r="B128" s="338" t="s">
        <v>371</v>
      </c>
      <c r="C128" s="339">
        <v>94392</v>
      </c>
      <c r="D128" s="339">
        <v>99168</v>
      </c>
      <c r="E128" s="339">
        <v>104148</v>
      </c>
      <c r="F128" s="339">
        <v>109416</v>
      </c>
      <c r="G128" s="339">
        <v>114948</v>
      </c>
    </row>
    <row r="129" spans="1:7" ht="15" customHeight="1" x14ac:dyDescent="0.25">
      <c r="A129" s="337" t="s">
        <v>486</v>
      </c>
      <c r="B129" s="338" t="s">
        <v>375</v>
      </c>
      <c r="C129" s="339">
        <v>56928</v>
      </c>
      <c r="D129" s="339">
        <v>59820</v>
      </c>
      <c r="E129" s="339">
        <v>62808</v>
      </c>
      <c r="F129" s="339">
        <v>65952</v>
      </c>
      <c r="G129" s="339">
        <v>69300</v>
      </c>
    </row>
    <row r="130" spans="1:7" ht="15" customHeight="1" x14ac:dyDescent="0.25">
      <c r="A130" s="337" t="s">
        <v>487</v>
      </c>
      <c r="B130" s="338" t="s">
        <v>359</v>
      </c>
      <c r="C130" s="339">
        <v>68724</v>
      </c>
      <c r="D130" s="339">
        <v>72192</v>
      </c>
      <c r="E130" s="339">
        <v>75792</v>
      </c>
      <c r="F130" s="339">
        <v>79644</v>
      </c>
      <c r="G130" s="339">
        <v>83676</v>
      </c>
    </row>
    <row r="131" spans="1:7" ht="15" customHeight="1" x14ac:dyDescent="0.25">
      <c r="A131" s="337" t="s">
        <v>488</v>
      </c>
      <c r="B131" s="338" t="s">
        <v>367</v>
      </c>
      <c r="C131" s="339">
        <v>62400</v>
      </c>
      <c r="D131" s="339">
        <v>65544</v>
      </c>
      <c r="E131" s="339">
        <v>68856</v>
      </c>
      <c r="F131" s="339">
        <v>72288</v>
      </c>
      <c r="G131" s="339">
        <v>75924</v>
      </c>
    </row>
    <row r="132" spans="1:7" ht="15" customHeight="1" x14ac:dyDescent="0.25">
      <c r="A132" s="340" t="s">
        <v>489</v>
      </c>
      <c r="B132" s="341" t="s">
        <v>352</v>
      </c>
      <c r="C132" s="342">
        <v>71724</v>
      </c>
      <c r="D132" s="342">
        <v>75348</v>
      </c>
      <c r="E132" s="342">
        <v>79164</v>
      </c>
      <c r="F132" s="342">
        <v>83136</v>
      </c>
      <c r="G132" s="342">
        <v>87372</v>
      </c>
    </row>
    <row r="133" spans="1:7" ht="15" customHeight="1" x14ac:dyDescent="0.25">
      <c r="A133" s="337" t="s">
        <v>490</v>
      </c>
      <c r="B133" s="338" t="s">
        <v>343</v>
      </c>
      <c r="C133" s="339">
        <v>75060</v>
      </c>
      <c r="D133" s="339">
        <v>78852</v>
      </c>
      <c r="E133" s="339">
        <v>82836</v>
      </c>
      <c r="F133" s="339">
        <v>86988</v>
      </c>
      <c r="G133" s="339">
        <v>91380</v>
      </c>
    </row>
    <row r="134" spans="1:7" ht="15" customHeight="1" x14ac:dyDescent="0.25">
      <c r="A134" s="340" t="s">
        <v>491</v>
      </c>
      <c r="B134" s="341" t="s">
        <v>343</v>
      </c>
      <c r="C134" s="342">
        <v>75060</v>
      </c>
      <c r="D134" s="342">
        <v>78852</v>
      </c>
      <c r="E134" s="342">
        <v>82836</v>
      </c>
      <c r="F134" s="342">
        <v>86988</v>
      </c>
      <c r="G134" s="342">
        <v>91380</v>
      </c>
    </row>
    <row r="135" spans="1:7" ht="15" customHeight="1" x14ac:dyDescent="0.25">
      <c r="A135" s="340" t="s">
        <v>492</v>
      </c>
      <c r="B135" s="341" t="s">
        <v>355</v>
      </c>
      <c r="C135" s="342">
        <v>79548</v>
      </c>
      <c r="D135" s="342">
        <v>83520</v>
      </c>
      <c r="E135" s="342">
        <v>87780</v>
      </c>
      <c r="F135" s="342">
        <v>92208</v>
      </c>
      <c r="G135" s="342">
        <v>96828</v>
      </c>
    </row>
    <row r="136" spans="1:7" ht="15" customHeight="1" x14ac:dyDescent="0.25">
      <c r="A136" s="337" t="s">
        <v>493</v>
      </c>
      <c r="B136" s="338" t="s">
        <v>359</v>
      </c>
      <c r="C136" s="339">
        <v>68724</v>
      </c>
      <c r="D136" s="339">
        <v>72192</v>
      </c>
      <c r="E136" s="339">
        <v>75792</v>
      </c>
      <c r="F136" s="339">
        <v>79644</v>
      </c>
      <c r="G136" s="339">
        <v>83676</v>
      </c>
    </row>
    <row r="137" spans="1:7" ht="15" customHeight="1" x14ac:dyDescent="0.25">
      <c r="A137" s="337" t="s">
        <v>494</v>
      </c>
      <c r="B137" s="338" t="s">
        <v>347</v>
      </c>
      <c r="C137" s="339">
        <v>86460</v>
      </c>
      <c r="D137" s="339">
        <v>90768</v>
      </c>
      <c r="E137" s="339">
        <v>95412</v>
      </c>
      <c r="F137" s="339">
        <v>100152</v>
      </c>
      <c r="G137" s="339">
        <v>105252</v>
      </c>
    </row>
    <row r="138" spans="1:7" ht="15" customHeight="1" x14ac:dyDescent="0.25">
      <c r="A138" s="337" t="s">
        <v>495</v>
      </c>
      <c r="B138" s="338" t="s">
        <v>367</v>
      </c>
      <c r="C138" s="339">
        <v>62400</v>
      </c>
      <c r="D138" s="339">
        <v>65544</v>
      </c>
      <c r="E138" s="339">
        <v>68856</v>
      </c>
      <c r="F138" s="339">
        <v>72288</v>
      </c>
      <c r="G138" s="339">
        <v>75924</v>
      </c>
    </row>
    <row r="139" spans="1:7" ht="15" customHeight="1" x14ac:dyDescent="0.25">
      <c r="A139" s="337" t="s">
        <v>496</v>
      </c>
      <c r="B139" s="338" t="s">
        <v>347</v>
      </c>
      <c r="C139" s="339">
        <v>86460</v>
      </c>
      <c r="D139" s="339">
        <v>90768</v>
      </c>
      <c r="E139" s="339">
        <v>95412</v>
      </c>
      <c r="F139" s="339">
        <v>100152</v>
      </c>
      <c r="G139" s="339">
        <v>105252</v>
      </c>
    </row>
    <row r="140" spans="1:7" ht="15" customHeight="1" x14ac:dyDescent="0.25">
      <c r="A140" s="340" t="s">
        <v>497</v>
      </c>
      <c r="B140" s="341" t="s">
        <v>355</v>
      </c>
      <c r="C140" s="342">
        <v>79548</v>
      </c>
      <c r="D140" s="342">
        <v>83520</v>
      </c>
      <c r="E140" s="342">
        <v>87780</v>
      </c>
      <c r="F140" s="342">
        <v>92208</v>
      </c>
      <c r="G140" s="342">
        <v>96828</v>
      </c>
    </row>
    <row r="141" spans="1:7" ht="15" customHeight="1" x14ac:dyDescent="0.25">
      <c r="A141" s="340" t="s">
        <v>498</v>
      </c>
      <c r="B141" s="341" t="s">
        <v>340</v>
      </c>
      <c r="C141" s="342">
        <v>82764</v>
      </c>
      <c r="D141" s="342">
        <v>86844</v>
      </c>
      <c r="E141" s="342">
        <v>91296</v>
      </c>
      <c r="F141" s="342">
        <v>95880</v>
      </c>
      <c r="G141" s="342">
        <v>100716</v>
      </c>
    </row>
    <row r="142" spans="1:7" ht="15" customHeight="1" x14ac:dyDescent="0.25">
      <c r="A142" s="340" t="s">
        <v>499</v>
      </c>
      <c r="B142" s="341" t="s">
        <v>352</v>
      </c>
      <c r="C142" s="342">
        <v>71724</v>
      </c>
      <c r="D142" s="342">
        <v>75348</v>
      </c>
      <c r="E142" s="342">
        <v>79164</v>
      </c>
      <c r="F142" s="342">
        <v>83136</v>
      </c>
      <c r="G142" s="342">
        <v>87372</v>
      </c>
    </row>
    <row r="143" spans="1:7" ht="15" customHeight="1" x14ac:dyDescent="0.25">
      <c r="A143" s="340" t="s">
        <v>500</v>
      </c>
      <c r="B143" s="341" t="s">
        <v>343</v>
      </c>
      <c r="C143" s="342">
        <v>75060</v>
      </c>
      <c r="D143" s="342">
        <v>78852</v>
      </c>
      <c r="E143" s="342">
        <v>82836</v>
      </c>
      <c r="F143" s="342">
        <v>86988</v>
      </c>
      <c r="G143" s="342">
        <v>91380</v>
      </c>
    </row>
    <row r="144" spans="1:7" ht="15" customHeight="1" x14ac:dyDescent="0.25">
      <c r="A144" s="337" t="s">
        <v>501</v>
      </c>
      <c r="B144" s="338" t="s">
        <v>392</v>
      </c>
      <c r="C144" s="339">
        <v>104472</v>
      </c>
      <c r="D144" s="339">
        <v>109776</v>
      </c>
      <c r="E144" s="339">
        <v>115272</v>
      </c>
      <c r="F144" s="339">
        <v>121068</v>
      </c>
      <c r="G144" s="339">
        <v>127164</v>
      </c>
    </row>
    <row r="145" spans="1:7" ht="15" customHeight="1" x14ac:dyDescent="0.25">
      <c r="A145" s="337" t="s">
        <v>502</v>
      </c>
      <c r="B145" s="338" t="s">
        <v>343</v>
      </c>
      <c r="C145" s="339">
        <v>75060</v>
      </c>
      <c r="D145" s="339">
        <v>78852</v>
      </c>
      <c r="E145" s="339">
        <v>82836</v>
      </c>
      <c r="F145" s="339">
        <v>86988</v>
      </c>
      <c r="G145" s="339">
        <v>91380</v>
      </c>
    </row>
    <row r="146" spans="1:7" ht="15" customHeight="1" x14ac:dyDescent="0.25">
      <c r="A146" s="337" t="s">
        <v>503</v>
      </c>
      <c r="B146" s="338" t="s">
        <v>359</v>
      </c>
      <c r="C146" s="339">
        <v>68724</v>
      </c>
      <c r="D146" s="339">
        <v>72192</v>
      </c>
      <c r="E146" s="339">
        <v>75792</v>
      </c>
      <c r="F146" s="339">
        <v>79644</v>
      </c>
      <c r="G146" s="339">
        <v>83676</v>
      </c>
    </row>
    <row r="147" spans="1:7" ht="15" customHeight="1" x14ac:dyDescent="0.25">
      <c r="A147" s="337" t="s">
        <v>504</v>
      </c>
      <c r="B147" s="338" t="s">
        <v>389</v>
      </c>
      <c r="C147" s="339">
        <v>65676</v>
      </c>
      <c r="D147" s="339">
        <v>69000</v>
      </c>
      <c r="E147" s="339">
        <v>72528</v>
      </c>
      <c r="F147" s="339">
        <v>76128</v>
      </c>
      <c r="G147" s="339">
        <v>79956</v>
      </c>
    </row>
    <row r="148" spans="1:7" ht="15" customHeight="1" x14ac:dyDescent="0.25">
      <c r="A148" s="337" t="s">
        <v>505</v>
      </c>
      <c r="B148" s="338" t="s">
        <v>367</v>
      </c>
      <c r="C148" s="339">
        <v>62400</v>
      </c>
      <c r="D148" s="339">
        <v>65544</v>
      </c>
      <c r="E148" s="339">
        <v>68856</v>
      </c>
      <c r="F148" s="339">
        <v>72288</v>
      </c>
      <c r="G148" s="339">
        <v>75924</v>
      </c>
    </row>
    <row r="149" spans="1:7" ht="15" customHeight="1" x14ac:dyDescent="0.25">
      <c r="A149" s="337" t="s">
        <v>506</v>
      </c>
      <c r="B149" s="338" t="s">
        <v>340</v>
      </c>
      <c r="C149" s="339">
        <v>82764</v>
      </c>
      <c r="D149" s="339">
        <v>86844</v>
      </c>
      <c r="E149" s="339">
        <v>91296</v>
      </c>
      <c r="F149" s="339">
        <v>95880</v>
      </c>
      <c r="G149" s="339">
        <v>100716</v>
      </c>
    </row>
    <row r="150" spans="1:7" ht="15" customHeight="1" x14ac:dyDescent="0.25">
      <c r="A150" s="337" t="s">
        <v>507</v>
      </c>
      <c r="B150" s="338" t="s">
        <v>343</v>
      </c>
      <c r="C150" s="339">
        <v>75060</v>
      </c>
      <c r="D150" s="339">
        <v>78852</v>
      </c>
      <c r="E150" s="339">
        <v>82836</v>
      </c>
      <c r="F150" s="339">
        <v>86988</v>
      </c>
      <c r="G150" s="339">
        <v>91380</v>
      </c>
    </row>
    <row r="151" spans="1:7" ht="15" customHeight="1" x14ac:dyDescent="0.25">
      <c r="A151" s="340" t="s">
        <v>508</v>
      </c>
      <c r="B151" s="341" t="s">
        <v>355</v>
      </c>
      <c r="C151" s="342">
        <v>79548</v>
      </c>
      <c r="D151" s="342">
        <v>83520</v>
      </c>
      <c r="E151" s="342">
        <v>87780</v>
      </c>
      <c r="F151" s="342">
        <v>92208</v>
      </c>
      <c r="G151" s="342">
        <v>96828</v>
      </c>
    </row>
    <row r="152" spans="1:7" ht="15" customHeight="1" x14ac:dyDescent="0.25">
      <c r="A152" s="340" t="s">
        <v>509</v>
      </c>
      <c r="B152" s="341" t="s">
        <v>371</v>
      </c>
      <c r="C152" s="342">
        <v>94392</v>
      </c>
      <c r="D152" s="342">
        <v>99168</v>
      </c>
      <c r="E152" s="342">
        <v>104148</v>
      </c>
      <c r="F152" s="342">
        <v>109416</v>
      </c>
      <c r="G152" s="342">
        <v>114948</v>
      </c>
    </row>
    <row r="153" spans="1:7" ht="15" customHeight="1" x14ac:dyDescent="0.25">
      <c r="A153" s="337" t="s">
        <v>510</v>
      </c>
      <c r="B153" s="338" t="s">
        <v>392</v>
      </c>
      <c r="C153" s="339">
        <v>104472</v>
      </c>
      <c r="D153" s="339">
        <v>109776</v>
      </c>
      <c r="E153" s="339">
        <v>115272</v>
      </c>
      <c r="F153" s="339">
        <v>121068</v>
      </c>
      <c r="G153" s="339">
        <v>127164</v>
      </c>
    </row>
    <row r="154" spans="1:7" ht="15" customHeight="1" x14ac:dyDescent="0.25">
      <c r="A154" s="337" t="s">
        <v>511</v>
      </c>
      <c r="B154" s="338" t="s">
        <v>340</v>
      </c>
      <c r="C154" s="339">
        <v>82764</v>
      </c>
      <c r="D154" s="339">
        <v>86844</v>
      </c>
      <c r="E154" s="339">
        <v>91296</v>
      </c>
      <c r="F154" s="339">
        <v>95880</v>
      </c>
      <c r="G154" s="339">
        <v>100716</v>
      </c>
    </row>
    <row r="155" spans="1:7" ht="15" customHeight="1" x14ac:dyDescent="0.25">
      <c r="A155" s="340" t="s">
        <v>512</v>
      </c>
      <c r="B155" s="341" t="s">
        <v>352</v>
      </c>
      <c r="C155" s="342">
        <v>71724</v>
      </c>
      <c r="D155" s="342">
        <v>75348</v>
      </c>
      <c r="E155" s="342">
        <v>79164</v>
      </c>
      <c r="F155" s="342">
        <v>83136</v>
      </c>
      <c r="G155" s="342">
        <v>87372</v>
      </c>
    </row>
    <row r="156" spans="1:7" ht="15" customHeight="1" x14ac:dyDescent="0.25">
      <c r="A156" s="340" t="s">
        <v>513</v>
      </c>
      <c r="B156" s="341" t="s">
        <v>343</v>
      </c>
      <c r="C156" s="342">
        <v>75060</v>
      </c>
      <c r="D156" s="342">
        <v>78852</v>
      </c>
      <c r="E156" s="342">
        <v>82836</v>
      </c>
      <c r="F156" s="342">
        <v>86988</v>
      </c>
      <c r="G156" s="342">
        <v>91380</v>
      </c>
    </row>
    <row r="157" spans="1:7" ht="15" customHeight="1" x14ac:dyDescent="0.25">
      <c r="A157" s="337" t="s">
        <v>514</v>
      </c>
      <c r="B157" s="338" t="s">
        <v>371</v>
      </c>
      <c r="C157" s="339">
        <v>94392</v>
      </c>
      <c r="D157" s="339">
        <v>99168</v>
      </c>
      <c r="E157" s="339">
        <v>104148</v>
      </c>
      <c r="F157" s="339">
        <v>109416</v>
      </c>
      <c r="G157" s="339">
        <v>114948</v>
      </c>
    </row>
    <row r="158" spans="1:7" ht="15" customHeight="1" x14ac:dyDescent="0.25">
      <c r="A158" s="337" t="s">
        <v>515</v>
      </c>
      <c r="B158" s="338" t="s">
        <v>516</v>
      </c>
      <c r="C158" s="339">
        <v>110016</v>
      </c>
      <c r="D158" s="339">
        <v>115536</v>
      </c>
      <c r="E158" s="339">
        <v>121392</v>
      </c>
      <c r="F158" s="339">
        <v>127524</v>
      </c>
      <c r="G158" s="339">
        <v>133920</v>
      </c>
    </row>
    <row r="159" spans="1:7" ht="15" customHeight="1" x14ac:dyDescent="0.25">
      <c r="A159" s="337" t="s">
        <v>517</v>
      </c>
      <c r="B159" s="338" t="s">
        <v>347</v>
      </c>
      <c r="C159" s="339">
        <v>86460</v>
      </c>
      <c r="D159" s="339">
        <v>90768</v>
      </c>
      <c r="E159" s="339">
        <v>95412</v>
      </c>
      <c r="F159" s="339">
        <v>100152</v>
      </c>
      <c r="G159" s="339">
        <v>105252</v>
      </c>
    </row>
    <row r="160" spans="1:7" ht="15" customHeight="1" x14ac:dyDescent="0.25">
      <c r="A160" s="337" t="s">
        <v>518</v>
      </c>
      <c r="B160" s="338" t="s">
        <v>349</v>
      </c>
      <c r="C160" s="339">
        <v>90084</v>
      </c>
      <c r="D160" s="339">
        <v>94644</v>
      </c>
      <c r="E160" s="339">
        <v>99384</v>
      </c>
      <c r="F160" s="339">
        <v>104388</v>
      </c>
      <c r="G160" s="339">
        <v>109704</v>
      </c>
    </row>
    <row r="161" spans="1:7" ht="15" customHeight="1" x14ac:dyDescent="0.25">
      <c r="A161" s="337" t="s">
        <v>519</v>
      </c>
      <c r="B161" s="338" t="s">
        <v>359</v>
      </c>
      <c r="C161" s="339">
        <v>68724</v>
      </c>
      <c r="D161" s="339">
        <v>72192</v>
      </c>
      <c r="E161" s="339">
        <v>75792</v>
      </c>
      <c r="F161" s="339">
        <v>79644</v>
      </c>
      <c r="G161" s="339">
        <v>83676</v>
      </c>
    </row>
    <row r="162" spans="1:7" ht="15" customHeight="1" x14ac:dyDescent="0.25">
      <c r="A162" s="337" t="s">
        <v>520</v>
      </c>
      <c r="B162" s="338" t="s">
        <v>343</v>
      </c>
      <c r="C162" s="339">
        <v>75060</v>
      </c>
      <c r="D162" s="339">
        <v>78852</v>
      </c>
      <c r="E162" s="339">
        <v>82836</v>
      </c>
      <c r="F162" s="339">
        <v>86988</v>
      </c>
      <c r="G162" s="339">
        <v>91380</v>
      </c>
    </row>
    <row r="163" spans="1:7" ht="15" customHeight="1" x14ac:dyDescent="0.25">
      <c r="A163" s="337" t="s">
        <v>521</v>
      </c>
      <c r="B163" s="338" t="s">
        <v>352</v>
      </c>
      <c r="C163" s="339">
        <v>71724</v>
      </c>
      <c r="D163" s="339">
        <v>75348</v>
      </c>
      <c r="E163" s="339">
        <v>79164</v>
      </c>
      <c r="F163" s="339">
        <v>83136</v>
      </c>
      <c r="G163" s="339">
        <v>87372</v>
      </c>
    </row>
    <row r="164" spans="1:7" ht="15" customHeight="1" x14ac:dyDescent="0.25">
      <c r="A164" s="337" t="s">
        <v>522</v>
      </c>
      <c r="B164" s="341" t="s">
        <v>349</v>
      </c>
      <c r="C164" s="342">
        <v>90084</v>
      </c>
      <c r="D164" s="342">
        <v>94644</v>
      </c>
      <c r="E164" s="342">
        <v>99384</v>
      </c>
      <c r="F164" s="342">
        <v>104388</v>
      </c>
      <c r="G164" s="342">
        <v>109704</v>
      </c>
    </row>
    <row r="165" spans="1:7" ht="15" customHeight="1" x14ac:dyDescent="0.25">
      <c r="A165" s="340" t="s">
        <v>523</v>
      </c>
      <c r="B165" s="341" t="s">
        <v>367</v>
      </c>
      <c r="C165" s="342">
        <v>62400</v>
      </c>
      <c r="D165" s="342">
        <v>65544</v>
      </c>
      <c r="E165" s="342">
        <v>68856</v>
      </c>
      <c r="F165" s="342">
        <v>72288</v>
      </c>
      <c r="G165" s="342">
        <v>75924</v>
      </c>
    </row>
    <row r="166" spans="1:7" ht="15" customHeight="1" x14ac:dyDescent="0.25">
      <c r="A166" s="340" t="s">
        <v>524</v>
      </c>
      <c r="B166" s="341" t="s">
        <v>389</v>
      </c>
      <c r="C166" s="342">
        <v>65676</v>
      </c>
      <c r="D166" s="342">
        <v>69000</v>
      </c>
      <c r="E166" s="342">
        <v>72528</v>
      </c>
      <c r="F166" s="342">
        <v>76128</v>
      </c>
      <c r="G166" s="342">
        <v>79956</v>
      </c>
    </row>
    <row r="167" spans="1:7" ht="15" customHeight="1" x14ac:dyDescent="0.25">
      <c r="A167" s="337" t="s">
        <v>525</v>
      </c>
      <c r="B167" s="338" t="s">
        <v>526</v>
      </c>
      <c r="C167" s="339">
        <v>122448</v>
      </c>
      <c r="D167" s="339">
        <v>128592</v>
      </c>
      <c r="E167" s="339">
        <v>135120</v>
      </c>
      <c r="F167" s="339">
        <v>141888</v>
      </c>
      <c r="G167" s="339">
        <v>149088</v>
      </c>
    </row>
    <row r="168" spans="1:7" ht="15" customHeight="1" x14ac:dyDescent="0.25">
      <c r="A168" s="337" t="s">
        <v>527</v>
      </c>
      <c r="B168" s="338" t="s">
        <v>383</v>
      </c>
      <c r="C168" s="339">
        <v>99204</v>
      </c>
      <c r="D168" s="339">
        <v>104220</v>
      </c>
      <c r="E168" s="339">
        <v>109464</v>
      </c>
      <c r="F168" s="339">
        <v>114996</v>
      </c>
      <c r="G168" s="339">
        <v>120768</v>
      </c>
    </row>
    <row r="169" spans="1:7" ht="15" customHeight="1" x14ac:dyDescent="0.25">
      <c r="A169" s="337" t="s">
        <v>528</v>
      </c>
      <c r="B169" s="338" t="s">
        <v>392</v>
      </c>
      <c r="C169" s="339">
        <v>104472</v>
      </c>
      <c r="D169" s="339">
        <v>109776</v>
      </c>
      <c r="E169" s="339">
        <v>115272</v>
      </c>
      <c r="F169" s="339">
        <v>121068</v>
      </c>
      <c r="G169" s="339">
        <v>127164</v>
      </c>
    </row>
    <row r="170" spans="1:7" ht="15" customHeight="1" x14ac:dyDescent="0.25">
      <c r="A170" s="337" t="s">
        <v>529</v>
      </c>
      <c r="B170" s="338" t="s">
        <v>349</v>
      </c>
      <c r="C170" s="339">
        <v>90084</v>
      </c>
      <c r="D170" s="339">
        <v>94644</v>
      </c>
      <c r="E170" s="339">
        <v>99384</v>
      </c>
      <c r="F170" s="339">
        <v>104388</v>
      </c>
      <c r="G170" s="339">
        <v>109704</v>
      </c>
    </row>
    <row r="171" spans="1:7" ht="15" customHeight="1" x14ac:dyDescent="0.25">
      <c r="A171" s="337" t="s">
        <v>530</v>
      </c>
      <c r="B171" s="338" t="s">
        <v>359</v>
      </c>
      <c r="C171" s="339">
        <v>68724</v>
      </c>
      <c r="D171" s="339">
        <v>72192</v>
      </c>
      <c r="E171" s="339">
        <v>75792</v>
      </c>
      <c r="F171" s="339">
        <v>79644</v>
      </c>
      <c r="G171" s="339">
        <v>83676</v>
      </c>
    </row>
    <row r="172" spans="1:7" ht="15" customHeight="1" x14ac:dyDescent="0.25">
      <c r="A172" s="340" t="s">
        <v>531</v>
      </c>
      <c r="B172" s="341" t="s">
        <v>352</v>
      </c>
      <c r="C172" s="342">
        <v>71724</v>
      </c>
      <c r="D172" s="342">
        <v>75348</v>
      </c>
      <c r="E172" s="342">
        <v>79164</v>
      </c>
      <c r="F172" s="342">
        <v>83136</v>
      </c>
      <c r="G172" s="342">
        <v>87372</v>
      </c>
    </row>
    <row r="173" spans="1:7" ht="15" customHeight="1" x14ac:dyDescent="0.25">
      <c r="A173" s="340" t="s">
        <v>532</v>
      </c>
      <c r="B173" s="341" t="s">
        <v>343</v>
      </c>
      <c r="C173" s="342">
        <v>75060</v>
      </c>
      <c r="D173" s="342">
        <v>78852</v>
      </c>
      <c r="E173" s="342">
        <v>82836</v>
      </c>
      <c r="F173" s="342">
        <v>86988</v>
      </c>
      <c r="G173" s="342">
        <v>91380</v>
      </c>
    </row>
    <row r="174" spans="1:7" ht="15" customHeight="1" x14ac:dyDescent="0.25">
      <c r="A174" s="337" t="s">
        <v>533</v>
      </c>
      <c r="B174" s="338" t="s">
        <v>349</v>
      </c>
      <c r="C174" s="339">
        <v>90084</v>
      </c>
      <c r="D174" s="339">
        <v>94644</v>
      </c>
      <c r="E174" s="339">
        <v>99384</v>
      </c>
      <c r="F174" s="339">
        <v>104388</v>
      </c>
      <c r="G174" s="339">
        <v>109704</v>
      </c>
    </row>
    <row r="175" spans="1:7" ht="15" customHeight="1" x14ac:dyDescent="0.25">
      <c r="A175" s="337" t="s">
        <v>534</v>
      </c>
      <c r="B175" s="338" t="s">
        <v>340</v>
      </c>
      <c r="C175" s="339">
        <v>82764</v>
      </c>
      <c r="D175" s="339">
        <v>86844</v>
      </c>
      <c r="E175" s="339">
        <v>91296</v>
      </c>
      <c r="F175" s="339">
        <v>95880</v>
      </c>
      <c r="G175" s="339">
        <v>100716</v>
      </c>
    </row>
    <row r="176" spans="1:7" ht="15" customHeight="1" x14ac:dyDescent="0.25">
      <c r="A176" s="337" t="s">
        <v>535</v>
      </c>
      <c r="B176" s="338" t="s">
        <v>367</v>
      </c>
      <c r="C176" s="339">
        <v>62400</v>
      </c>
      <c r="D176" s="339">
        <v>65544</v>
      </c>
      <c r="E176" s="339">
        <v>68856</v>
      </c>
      <c r="F176" s="339">
        <v>72288</v>
      </c>
      <c r="G176" s="339">
        <v>75924</v>
      </c>
    </row>
    <row r="177" spans="1:7" ht="15" customHeight="1" x14ac:dyDescent="0.25">
      <c r="A177" s="337" t="s">
        <v>536</v>
      </c>
      <c r="B177" s="338" t="s">
        <v>349</v>
      </c>
      <c r="C177" s="339">
        <v>90084</v>
      </c>
      <c r="D177" s="339">
        <v>94644</v>
      </c>
      <c r="E177" s="339">
        <v>99384</v>
      </c>
      <c r="F177" s="339">
        <v>104388</v>
      </c>
      <c r="G177" s="339">
        <v>109704</v>
      </c>
    </row>
    <row r="178" spans="1:7" ht="15" customHeight="1" x14ac:dyDescent="0.25">
      <c r="A178" s="340" t="s">
        <v>537</v>
      </c>
      <c r="B178" s="341" t="s">
        <v>343</v>
      </c>
      <c r="C178" s="342">
        <v>75060</v>
      </c>
      <c r="D178" s="342">
        <v>78852</v>
      </c>
      <c r="E178" s="342">
        <v>82836</v>
      </c>
      <c r="F178" s="342">
        <v>86988</v>
      </c>
      <c r="G178" s="342">
        <v>91380</v>
      </c>
    </row>
    <row r="179" spans="1:7" x14ac:dyDescent="0.25">
      <c r="A179" s="340" t="s">
        <v>538</v>
      </c>
      <c r="B179" s="341" t="s">
        <v>347</v>
      </c>
      <c r="C179" s="342">
        <v>86460</v>
      </c>
      <c r="D179" s="342">
        <v>90768</v>
      </c>
      <c r="E179" s="342">
        <v>95412</v>
      </c>
      <c r="F179" s="342">
        <v>100152</v>
      </c>
      <c r="G179" s="342">
        <v>105252</v>
      </c>
    </row>
    <row r="180" spans="1:7" x14ac:dyDescent="0.25">
      <c r="A180" s="337" t="s">
        <v>539</v>
      </c>
      <c r="B180" s="338" t="s">
        <v>367</v>
      </c>
      <c r="C180" s="339">
        <v>62400</v>
      </c>
      <c r="D180" s="339">
        <v>65544</v>
      </c>
      <c r="E180" s="339">
        <v>68856</v>
      </c>
      <c r="F180" s="339">
        <v>72288</v>
      </c>
      <c r="G180" s="339">
        <v>75924</v>
      </c>
    </row>
    <row r="181" spans="1:7" x14ac:dyDescent="0.25">
      <c r="A181" s="337" t="s">
        <v>540</v>
      </c>
      <c r="B181" s="338" t="s">
        <v>347</v>
      </c>
      <c r="C181" s="339">
        <v>86460</v>
      </c>
      <c r="D181" s="339">
        <v>90768</v>
      </c>
      <c r="E181" s="339">
        <v>95412</v>
      </c>
      <c r="F181" s="339">
        <v>100152</v>
      </c>
      <c r="G181" s="339">
        <v>105252</v>
      </c>
    </row>
  </sheetData>
  <sheetProtection algorithmName="SHA-512" hashValue="TCNKIc845SncVNXbdg0GY2uaLgaJF3yIUiFyMdYIFtVn1seyijOGm9dgJil+4+1nmxkPuZX+COIRPAJb3HBzOg==" saltValue="sIedRfrak4ybtZkRXT0rsg==" spinCount="100000" sheet="1" selectLockedCells="1" selectUnlockedCells="1"/>
  <mergeCells count="1">
    <mergeCell ref="I3:X3"/>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9"/>
  </sheetPr>
  <dimension ref="A1:E21"/>
  <sheetViews>
    <sheetView topLeftCell="A5" workbookViewId="0">
      <selection activeCell="F34" sqref="F34"/>
    </sheetView>
  </sheetViews>
  <sheetFormatPr defaultColWidth="9.109375" defaultRowHeight="15.6" x14ac:dyDescent="0.3"/>
  <cols>
    <col min="1" max="1" width="28.6640625" style="23" customWidth="1"/>
    <col min="2" max="2" width="12.6640625" style="29" bestFit="1" customWidth="1"/>
    <col min="3" max="3" width="14.109375" style="23" customWidth="1"/>
    <col min="4" max="4" width="2.33203125" style="23" customWidth="1"/>
    <col min="5" max="16384" width="9.109375" style="23"/>
  </cols>
  <sheetData>
    <row r="1" spans="1:5" x14ac:dyDescent="0.3">
      <c r="A1" s="20" t="s">
        <v>314</v>
      </c>
      <c r="B1" s="21" t="s">
        <v>315</v>
      </c>
      <c r="C1" s="264">
        <v>135587</v>
      </c>
      <c r="E1" s="23" t="s">
        <v>541</v>
      </c>
    </row>
    <row r="2" spans="1:5" x14ac:dyDescent="0.3">
      <c r="A2" s="23" t="s">
        <v>317</v>
      </c>
      <c r="B2" s="73">
        <v>0.191</v>
      </c>
      <c r="C2" s="22">
        <f>ROUND($B2*$C$1,0)</f>
        <v>25897</v>
      </c>
    </row>
    <row r="3" spans="1:5" ht="15.9" customHeight="1" x14ac:dyDescent="0.3">
      <c r="A3" s="23" t="s">
        <v>318</v>
      </c>
      <c r="B3" s="73">
        <f>'RATE SHEET'!$B$8</f>
        <v>1.4500000000000001E-2</v>
      </c>
      <c r="C3" s="22">
        <f t="shared" ref="C3" si="0">ROUND($B3*$C$1,0)</f>
        <v>1966</v>
      </c>
    </row>
    <row r="4" spans="1:5" ht="15.9" customHeight="1" x14ac:dyDescent="0.3">
      <c r="A4" s="23" t="s">
        <v>319</v>
      </c>
      <c r="B4" s="73">
        <f>'RATE SHEET'!$B$9</f>
        <v>5.0000000000000001E-4</v>
      </c>
      <c r="C4" s="22">
        <f>ROUND($B4*$C$1,0)</f>
        <v>68</v>
      </c>
    </row>
    <row r="5" spans="1:5" x14ac:dyDescent="0.3">
      <c r="A5" s="23" t="s">
        <v>320</v>
      </c>
      <c r="B5" s="73">
        <f>'RATE SHEET'!$B$10</f>
        <v>1.6E-2</v>
      </c>
      <c r="C5" s="22">
        <f>ROUND($B5*$C$1,0)</f>
        <v>2169</v>
      </c>
    </row>
    <row r="6" spans="1:5" x14ac:dyDescent="0.3">
      <c r="A6" s="23" t="s">
        <v>321</v>
      </c>
      <c r="B6" s="73">
        <f>'RATE SHEET'!$B$12</f>
        <v>0.03</v>
      </c>
      <c r="C6" s="22">
        <f>ROUND($B6*$C$1,0)</f>
        <v>4068</v>
      </c>
    </row>
    <row r="7" spans="1:5" x14ac:dyDescent="0.3">
      <c r="A7" s="393" t="s">
        <v>322</v>
      </c>
      <c r="B7" s="394">
        <f>'RATE SHEET'!$B$11</f>
        <v>2E-3</v>
      </c>
      <c r="C7" s="395">
        <f>ROUND($B7*$C$1,0)</f>
        <v>271</v>
      </c>
    </row>
    <row r="8" spans="1:5" x14ac:dyDescent="0.3">
      <c r="B8" s="73">
        <f>SUM(B2:B7)</f>
        <v>0.254</v>
      </c>
      <c r="C8" s="22">
        <f>SUM(C2:C7)</f>
        <v>34439</v>
      </c>
    </row>
    <row r="9" spans="1:5" ht="17.399999999999999" x14ac:dyDescent="0.45">
      <c r="A9" s="23" t="s">
        <v>323</v>
      </c>
      <c r="B9" s="24"/>
      <c r="C9" s="25">
        <f>ROUND(B21,0)</f>
        <v>42152</v>
      </c>
    </row>
    <row r="10" spans="1:5" s="26" customFormat="1" ht="17.399999999999999" x14ac:dyDescent="0.45">
      <c r="A10" s="26" t="s">
        <v>324</v>
      </c>
      <c r="B10" s="27"/>
      <c r="C10" s="28">
        <f>SUM(C1+C8+C9)</f>
        <v>212178</v>
      </c>
    </row>
    <row r="12" spans="1:5" x14ac:dyDescent="0.3">
      <c r="A12" s="23" t="s">
        <v>325</v>
      </c>
    </row>
    <row r="14" spans="1:5" x14ac:dyDescent="0.3">
      <c r="A14" s="23" t="s">
        <v>326</v>
      </c>
    </row>
    <row r="16" spans="1:5" x14ac:dyDescent="0.3">
      <c r="C16" s="274">
        <v>121.84</v>
      </c>
      <c r="E16" s="85" t="s">
        <v>542</v>
      </c>
    </row>
    <row r="18" spans="1:2" x14ac:dyDescent="0.3">
      <c r="A18" s="23" t="s">
        <v>327</v>
      </c>
      <c r="B18" s="344">
        <v>1269.5999999999999</v>
      </c>
    </row>
    <row r="19" spans="1:2" x14ac:dyDescent="0.3">
      <c r="A19" s="23" t="s">
        <v>328</v>
      </c>
      <c r="B19" s="344">
        <v>111</v>
      </c>
    </row>
    <row r="20" spans="1:2" x14ac:dyDescent="0.3">
      <c r="A20" s="23" t="s">
        <v>329</v>
      </c>
      <c r="B20" s="344">
        <v>40771.199999999997</v>
      </c>
    </row>
    <row r="21" spans="1:2" ht="16.2" thickBot="1" x14ac:dyDescent="0.35">
      <c r="B21" s="345">
        <f>SUM(B18:B20)</f>
        <v>42151.799999999996</v>
      </c>
    </row>
  </sheetData>
  <sheetProtection algorithmName="SHA-512" hashValue="+xv84KPRkWgjte6FRU/IuXvxdZn/w28HJ7BHUspf9AaoZIop2sLYNFFnji+PTJoZZX9ptTRVfHJo6Etqv3odkA==" saltValue="5uG/Rx+0Mp3sEc+DPKesRw==" spinCount="100000" sheet="1" selectLockedCells="1" selectUnlockedCells="1"/>
  <pageMargins left="0.75" right="0.75" top="1.38" bottom="1" header="0.5" footer="0.5"/>
  <pageSetup orientation="portrait" r:id="rId1"/>
  <headerFooter alignWithMargins="0">
    <oddHeader>&amp;C&amp;"Times New Roman,Regular"&amp;12Riverside Community College District
2014/2015 Faculty Total Cost of Position</oddHeader>
    <oddFooter>&amp;R&amp;9&amp;Z&amp;F</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F00E9-316A-49EC-A643-4D522985944E}">
  <sheetPr codeName="Sheet15">
    <tabColor theme="9"/>
  </sheetPr>
  <dimension ref="A1:J23"/>
  <sheetViews>
    <sheetView workbookViewId="0">
      <selection activeCell="I28" sqref="I28"/>
    </sheetView>
  </sheetViews>
  <sheetFormatPr defaultColWidth="9.109375" defaultRowHeight="15.6" x14ac:dyDescent="0.3"/>
  <cols>
    <col min="1" max="1" width="29.109375" style="23" customWidth="1"/>
    <col min="2" max="2" width="14.109375" style="343" customWidth="1"/>
    <col min="3" max="3" width="14.109375" style="23" customWidth="1"/>
    <col min="4" max="4" width="2.33203125" style="23" customWidth="1"/>
    <col min="5" max="16384" width="9.109375" style="23"/>
  </cols>
  <sheetData>
    <row r="1" spans="1:10" x14ac:dyDescent="0.3">
      <c r="A1" s="20" t="s">
        <v>314</v>
      </c>
      <c r="B1" s="402" t="s">
        <v>315</v>
      </c>
      <c r="C1" s="401">
        <v>143291</v>
      </c>
      <c r="E1" s="23" t="s">
        <v>316</v>
      </c>
    </row>
    <row r="2" spans="1:10" x14ac:dyDescent="0.3">
      <c r="A2" s="23" t="s">
        <v>317</v>
      </c>
      <c r="B2" s="400">
        <v>0.191</v>
      </c>
      <c r="C2" s="22">
        <f t="shared" ref="C2:C7" si="0">ROUND($B2*$C$1,0)</f>
        <v>27369</v>
      </c>
    </row>
    <row r="3" spans="1:10" ht="15.75" customHeight="1" x14ac:dyDescent="0.4">
      <c r="A3" s="23" t="s">
        <v>318</v>
      </c>
      <c r="B3" s="400">
        <f>+'[2]RATE SHEET'!B8</f>
        <v>1.4500000000000001E-2</v>
      </c>
      <c r="C3" s="22">
        <f t="shared" si="0"/>
        <v>2078</v>
      </c>
      <c r="G3" s="76"/>
      <c r="H3" s="76"/>
      <c r="I3" s="76"/>
      <c r="J3" s="76"/>
    </row>
    <row r="4" spans="1:10" ht="15.75" customHeight="1" x14ac:dyDescent="0.4">
      <c r="A4" s="23" t="s">
        <v>319</v>
      </c>
      <c r="B4" s="400">
        <f>+'[2]RATE SHEET'!B9</f>
        <v>5.0000000000000001E-4</v>
      </c>
      <c r="C4" s="22">
        <f t="shared" si="0"/>
        <v>72</v>
      </c>
      <c r="G4" s="76"/>
      <c r="H4" s="76"/>
      <c r="I4" s="76"/>
      <c r="J4" s="76"/>
    </row>
    <row r="5" spans="1:10" x14ac:dyDescent="0.3">
      <c r="A5" s="23" t="s">
        <v>320</v>
      </c>
      <c r="B5" s="400">
        <f>+'[2]RATE SHEET'!B10</f>
        <v>1.6E-2</v>
      </c>
      <c r="C5" s="22">
        <f t="shared" si="0"/>
        <v>2293</v>
      </c>
    </row>
    <row r="6" spans="1:10" x14ac:dyDescent="0.3">
      <c r="A6" s="23" t="s">
        <v>321</v>
      </c>
      <c r="B6" s="400">
        <v>0.03</v>
      </c>
      <c r="C6" s="22">
        <f t="shared" si="0"/>
        <v>4299</v>
      </c>
    </row>
    <row r="7" spans="1:10" x14ac:dyDescent="0.3">
      <c r="A7" s="393" t="s">
        <v>322</v>
      </c>
      <c r="B7" s="403">
        <f>+'[2]RATE SHEET'!B11</f>
        <v>2E-3</v>
      </c>
      <c r="C7" s="395">
        <f t="shared" si="0"/>
        <v>287</v>
      </c>
    </row>
    <row r="8" spans="1:10" x14ac:dyDescent="0.3">
      <c r="B8" s="400">
        <f>SUM(B2:B7)</f>
        <v>0.254</v>
      </c>
      <c r="C8" s="22">
        <f>SUM(C2:C7)</f>
        <v>36398</v>
      </c>
    </row>
    <row r="9" spans="1:10" ht="17.399999999999999" x14ac:dyDescent="0.45">
      <c r="A9" s="23" t="s">
        <v>323</v>
      </c>
      <c r="B9" s="400"/>
      <c r="C9" s="25">
        <f>'[2]RATE SHEET'!B19</f>
        <v>42151.799999999996</v>
      </c>
    </row>
    <row r="10" spans="1:10" s="26" customFormat="1" ht="17.399999999999999" x14ac:dyDescent="0.45">
      <c r="A10" s="26" t="s">
        <v>324</v>
      </c>
      <c r="B10" s="399"/>
      <c r="C10" s="28">
        <f>C1+C8+C9</f>
        <v>221840.8</v>
      </c>
    </row>
    <row r="12" spans="1:10" x14ac:dyDescent="0.3">
      <c r="A12" s="23" t="s">
        <v>325</v>
      </c>
    </row>
    <row r="14" spans="1:10" x14ac:dyDescent="0.3">
      <c r="A14" s="23" t="s">
        <v>326</v>
      </c>
    </row>
    <row r="15" spans="1:10" x14ac:dyDescent="0.3">
      <c r="A15" s="23" t="s">
        <v>327</v>
      </c>
      <c r="B15" s="398">
        <v>1269.5999999999999</v>
      </c>
    </row>
    <row r="16" spans="1:10" x14ac:dyDescent="0.3">
      <c r="A16" s="23" t="s">
        <v>328</v>
      </c>
      <c r="B16" s="398">
        <v>111</v>
      </c>
    </row>
    <row r="17" spans="1:3" x14ac:dyDescent="0.3">
      <c r="A17" s="23" t="s">
        <v>329</v>
      </c>
      <c r="B17" s="398">
        <v>40771.199999999997</v>
      </c>
      <c r="C17" s="23" t="s">
        <v>543</v>
      </c>
    </row>
    <row r="18" spans="1:3" ht="16.2" thickBot="1" x14ac:dyDescent="0.35">
      <c r="B18" s="345">
        <f>SUM(B15:B17)</f>
        <v>42151.799999999996</v>
      </c>
    </row>
    <row r="19" spans="1:3" ht="18" thickTop="1" x14ac:dyDescent="0.45">
      <c r="B19" s="397"/>
    </row>
    <row r="23" spans="1:3" x14ac:dyDescent="0.3">
      <c r="B23" s="396"/>
    </row>
  </sheetData>
  <sheetProtection algorithmName="SHA-512" hashValue="V1ldNWxRIvzwsmOH9Ir75WSkcDUy0YzJAYt8MYSqi5oj5BBJkcDGXQ8YigT2PQK1ExQNbUaYfmKN1clUXQs4DA==" saltValue="t0bjI/OEG7a/ob+8tj75KQ==" spinCount="100000" sheet="1" selectLockedCells="1" selectUnlockedCells="1"/>
  <pageMargins left="0.75" right="0.75" top="1.38" bottom="1" header="0.5" footer="0.5"/>
  <pageSetup orientation="portrait" r:id="rId1"/>
  <headerFooter alignWithMargins="0">
    <oddHeader>&amp;C&amp;"Times New Roman,Regular"&amp;12Riverside Community College District
2014/2015 Counselor/Librarian Total Cost of Position</oddHeader>
    <oddFooter>&amp;R&amp;9&amp;Z&amp;F</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EE8515543C8394D87FAA2A93CC2D8B8" ma:contentTypeVersion="19" ma:contentTypeDescription="Create a new document." ma:contentTypeScope="" ma:versionID="1674cb94d83e86d223ae212380c981aa">
  <xsd:schema xmlns:xsd="http://www.w3.org/2001/XMLSchema" xmlns:xs="http://www.w3.org/2001/XMLSchema" xmlns:p="http://schemas.microsoft.com/office/2006/metadata/properties" xmlns:ns1="http://schemas.microsoft.com/sharepoint/v3" xmlns:ns2="61ed5f3b-d1b7-43ae-838c-02534ba991bc" xmlns:ns3="329c5858-06dd-4410-aba0-2a9c48e73ef0" targetNamespace="http://schemas.microsoft.com/office/2006/metadata/properties" ma:root="true" ma:fieldsID="2b53e817a89e712123fd35573c5e8686" ns1:_="" ns2:_="" ns3:_="">
    <xsd:import namespace="http://schemas.microsoft.com/sharepoint/v3"/>
    <xsd:import namespace="61ed5f3b-d1b7-43ae-838c-02534ba991bc"/>
    <xsd:import namespace="329c5858-06dd-4410-aba0-2a9c48e73ef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1ed5f3b-d1b7-43ae-838c-02534ba991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c6a28ca7-f774-4241-937e-de22154b6813"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29c5858-06dd-4410-aba0-2a9c48e73ef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1a3d332-ae86-46b8-9b86-58fd70480195}" ma:internalName="TaxCatchAll" ma:showField="CatchAllData" ma:web="329c5858-06dd-4410-aba0-2a9c48e73e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329c5858-06dd-4410-aba0-2a9c48e73ef0">
      <UserInfo>
        <DisplayName>Terrazas, Denise</DisplayName>
        <AccountId>84</AccountId>
        <AccountType/>
      </UserInfo>
      <UserInfo>
        <DisplayName>Wagner, Desiree</DisplayName>
        <AccountId>128</AccountId>
        <AccountType/>
      </UserInfo>
      <UserInfo>
        <DisplayName>Collins, Michael</DisplayName>
        <AccountId>17</AccountId>
        <AccountType/>
      </UserInfo>
      <UserInfo>
        <DisplayName>Hodawanus, Tricia</DisplayName>
        <AccountId>49</AccountId>
        <AccountType/>
      </UserInfo>
      <UserInfo>
        <DisplayName>Abejar, Esmeralda</DisplayName>
        <AccountId>10</AccountId>
        <AccountType/>
      </UserInfo>
      <UserInfo>
        <DisplayName>Riley, Leonard</DisplayName>
        <AccountId>77</AccountId>
        <AccountType/>
      </UserInfo>
      <UserInfo>
        <DisplayName>Figueroa, Claudia</DisplayName>
        <AccountId>99</AccountId>
        <AccountType/>
      </UserInfo>
      <UserInfo>
        <DisplayName>Romero-Tang, Maria</DisplayName>
        <AccountId>13</AccountId>
        <AccountType/>
      </UserInfo>
      <UserInfo>
        <DisplayName>Esparza, Monica</DisplayName>
        <AccountId>107</AccountId>
        <AccountType/>
      </UserInfo>
      <UserInfo>
        <DisplayName>Molina, Ana</DisplayName>
        <AccountId>12</AccountId>
        <AccountType/>
      </UserInfo>
      <UserInfo>
        <DisplayName>Budget NC Members</DisplayName>
        <AccountId>129</AccountId>
        <AccountType/>
      </UserInfo>
      <UserInfo>
        <DisplayName>Etchison, Ashley</DisplayName>
        <AccountId>43</AccountId>
        <AccountType/>
      </UserInfo>
      <UserInfo>
        <DisplayName>Alvarez, Juan</DisplayName>
        <AccountId>132</AccountId>
        <AccountType/>
      </UserInfo>
      <UserInfo>
        <DisplayName>Gonzalez, Maria</DisplayName>
        <AccountId>133</AccountId>
        <AccountType/>
      </UserInfo>
    </SharedWithUsers>
    <lcf76f155ced4ddcb4097134ff3c332f xmlns="61ed5f3b-d1b7-43ae-838c-02534ba991bc">
      <Terms xmlns="http://schemas.microsoft.com/office/infopath/2007/PartnerControls"/>
    </lcf76f155ced4ddcb4097134ff3c332f>
    <TaxCatchAll xmlns="329c5858-06dd-4410-aba0-2a9c48e73ef0" xsi:nil="tru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8E3CC6-DD77-4A4E-ACBE-DBAD61E3D7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1ed5f3b-d1b7-43ae-838c-02534ba991bc"/>
    <ds:schemaRef ds:uri="329c5858-06dd-4410-aba0-2a9c48e73e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49644D-55FD-46F7-AEA1-B2073065B31E}">
  <ds:schemaRefs>
    <ds:schemaRef ds:uri="http://schemas.microsoft.com/sharepoint/v3"/>
    <ds:schemaRef ds:uri="329c5858-06dd-4410-aba0-2a9c48e73ef0"/>
    <ds:schemaRef ds:uri="http://schemas.microsoft.com/office/2006/documentManagement/types"/>
    <ds:schemaRef ds:uri="http://schemas.microsoft.com/office/infopath/2007/PartnerControls"/>
    <ds:schemaRef ds:uri="http://schemas.microsoft.com/office/2006/metadata/properties"/>
    <ds:schemaRef ds:uri="http://purl.org/dc/dcmitype/"/>
    <ds:schemaRef ds:uri="http://www.w3.org/XML/1998/namespace"/>
    <ds:schemaRef ds:uri="http://purl.org/dc/elements/1.1/"/>
    <ds:schemaRef ds:uri="http://schemas.openxmlformats.org/package/2006/metadata/core-properties"/>
    <ds:schemaRef ds:uri="61ed5f3b-d1b7-43ae-838c-02534ba991bc"/>
    <ds:schemaRef ds:uri="http://purl.org/dc/terms/"/>
  </ds:schemaRefs>
</ds:datastoreItem>
</file>

<file path=customXml/itemProps3.xml><?xml version="1.0" encoding="utf-8"?>
<ds:datastoreItem xmlns:ds="http://schemas.openxmlformats.org/officeDocument/2006/customXml" ds:itemID="{BDAB6B7F-9FE6-48E9-ACE3-B94D687402F1}">
  <ds:schemaRefs>
    <ds:schemaRef ds:uri="http://schemas.microsoft.com/office/2006/metadata/longProperties"/>
  </ds:schemaRefs>
</ds:datastoreItem>
</file>

<file path=customXml/itemProps4.xml><?xml version="1.0" encoding="utf-8"?>
<ds:datastoreItem xmlns:ds="http://schemas.openxmlformats.org/officeDocument/2006/customXml" ds:itemID="{2C0A5917-D7E2-4D83-A300-66EA5DAFCC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12</vt:i4>
      </vt:variant>
    </vt:vector>
  </HeadingPairs>
  <TitlesOfParts>
    <vt:vector size="31" baseType="lpstr">
      <vt:lpstr>How to Use the Workbook</vt:lpstr>
      <vt:lpstr>Summary</vt:lpstr>
      <vt:lpstr>TCO Estimator</vt:lpstr>
      <vt:lpstr>Administrator Job Titles</vt:lpstr>
      <vt:lpstr>TCP Full Time CounsLib</vt:lpstr>
      <vt:lpstr>Administrator Job Titles </vt:lpstr>
      <vt:lpstr>Classified Job Titles</vt:lpstr>
      <vt:lpstr>TCO Full Time Fac</vt:lpstr>
      <vt:lpstr>TCO Full Time CounsLib</vt:lpstr>
      <vt:lpstr>Short Term NonClassified Titles</vt:lpstr>
      <vt:lpstr>Student Employment</vt:lpstr>
      <vt:lpstr>TCP Assoc FacCousLib</vt:lpstr>
      <vt:lpstr>RATE SHEET</vt:lpstr>
      <vt:lpstr>Technology</vt:lpstr>
      <vt:lpstr>Utilities</vt:lpstr>
      <vt:lpstr>All Building Summary</vt:lpstr>
      <vt:lpstr>M &amp; O Standards</vt:lpstr>
      <vt:lpstr>NOTES</vt:lpstr>
      <vt:lpstr>VFS Utilities - FY 25-26</vt:lpstr>
      <vt:lpstr>'Administrator Job Titles '!AdministratorTitles</vt:lpstr>
      <vt:lpstr>AdministratorTitles</vt:lpstr>
      <vt:lpstr>'Administrator Job Titles '!AdminTitles</vt:lpstr>
      <vt:lpstr>AdminTitles</vt:lpstr>
      <vt:lpstr>'Administrator Job Titles '!AdminTitles2</vt:lpstr>
      <vt:lpstr>AdminTitles2</vt:lpstr>
      <vt:lpstr>ClassTitles</vt:lpstr>
      <vt:lpstr>ClassTitles2</vt:lpstr>
      <vt:lpstr>'M &amp; O Standards'!Print_Area</vt:lpstr>
      <vt:lpstr>'TCO Estimator'!Print_Area</vt:lpstr>
      <vt:lpstr>ShortTerm</vt:lpstr>
      <vt:lpstr>StudentTitles</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Jilly Bear</dc:creator>
  <cp:keywords/>
  <dc:description/>
  <cp:lastModifiedBy>Abejar, Esmeralda</cp:lastModifiedBy>
  <cp:revision/>
  <dcterms:created xsi:type="dcterms:W3CDTF">2006-11-02T01:44:33Z</dcterms:created>
  <dcterms:modified xsi:type="dcterms:W3CDTF">2025-12-11T22:36:46Z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Order">
    <vt:lpwstr>37900.0000000000</vt:lpwstr>
  </property>
  <property fmtid="{D5CDD505-2E9C-101B-9397-08002B2CF9AE}" pid="4" name="TemplateUrl">
    <vt:lpwstr/>
  </property>
  <property fmtid="{D5CDD505-2E9C-101B-9397-08002B2CF9AE}" pid="5" name="xd_ProgID">
    <vt:lpwstr/>
  </property>
  <property fmtid="{D5CDD505-2E9C-101B-9397-08002B2CF9AE}" pid="6" name="ContentTypeId">
    <vt:lpwstr>0x0101004EE8515543C8394D87FAA2A93CC2D8B8</vt:lpwstr>
  </property>
  <property fmtid="{D5CDD505-2E9C-101B-9397-08002B2CF9AE}" pid="7" name="ComplianceAssetId">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